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geologicalsociety.sharepoint.com/sites/GSPH-Sales/Shared Documents/Book title info and price list/"/>
    </mc:Choice>
  </mc:AlternateContent>
  <xr:revisionPtr revIDLastSave="0" documentId="8_{64B0771F-312F-4AE6-A9BB-40AA9BB36280}" xr6:coauthVersionLast="47" xr6:coauthVersionMax="47" xr10:uidLastSave="{00000000-0000-0000-0000-000000000000}"/>
  <bookViews>
    <workbookView xWindow="-108" yWindow="-108" windowWidth="23256" windowHeight="12456" xr2:uid="{00000000-000D-0000-FFFF-FFFF00000000}"/>
  </bookViews>
  <sheets>
    <sheet name="Book title list" sheetId="2" r:id="rId1"/>
    <sheet name="Journal and book series info" sheetId="4" r:id="rId2"/>
    <sheet name="Pay-per-view eBooks" sheetId="6" r:id="rId3"/>
  </sheets>
  <definedNames>
    <definedName name="_xlnm._FilterDatabase" localSheetId="0" hidden="1">'Book title list'!$A$1:$L$774</definedName>
    <definedName name="_xlnm._FilterDatabase" localSheetId="2" hidden="1">'Pay-per-view eBooks'!$A$6:$K$23</definedName>
    <definedName name="BinNo" localSheetId="2">#REF!</definedName>
    <definedName name="BinNo">#REF!</definedName>
    <definedName name="Categories" localSheetId="2">#REF!</definedName>
    <definedName name="Categories">#REF!</definedName>
    <definedName name="Description" localSheetId="2">#REF!</definedName>
    <definedName name="Description">#REF!</definedName>
    <definedName name="ISBN10" localSheetId="2">#REF!</definedName>
    <definedName name="ISBN10">#REF!</definedName>
    <definedName name="ISBN13" localSheetId="2">#REF!</definedName>
    <definedName name="ISBN13">#REF!</definedName>
    <definedName name="ListPrice" localSheetId="2">#REF!</definedName>
    <definedName name="ListPrice">#REF!</definedName>
    <definedName name="OnlineBookshop" localSheetId="2">#REF!</definedName>
    <definedName name="OnlineBookshop">#REF!</definedName>
    <definedName name="_xlnm.Print_Area" localSheetId="0">'Book title list'!$A$1:$L$796</definedName>
    <definedName name="_xlnm.Print_Area" localSheetId="2">'Pay-per-view eBooks'!$A$5:$K$14</definedName>
    <definedName name="_xlnm.Print_Titles" localSheetId="0">'Book title list'!$1:$1</definedName>
    <definedName name="_xlnm.Print_Titles" localSheetId="2">'Pay-per-view eBooks'!$6:$6</definedName>
    <definedName name="Product" localSheetId="2">#REF!</definedName>
    <definedName name="Product">#REF!</definedName>
    <definedName name="ProductDescription" localSheetId="2">#REF!</definedName>
    <definedName name="ProductDescription">#REF!</definedName>
    <definedName name="StartDate" localSheetId="2">#REF!</definedName>
    <definedName name="StartDate">#REF!</definedName>
    <definedName name="Status" localSheetId="2">#REF!</definedName>
    <definedName name="Status">#REF!</definedName>
    <definedName name="StockCount" localSheetId="2">#REF!</definedName>
    <definedName name="StockCount">#REF!</definedName>
    <definedName name="Warehouse" localSheetId="2">#REF!</definedName>
    <definedName name="Warehou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2" l="1"/>
  <c r="G3" i="2"/>
  <c r="G4" i="2"/>
  <c r="G5" i="2"/>
  <c r="G8" i="2"/>
  <c r="G13" i="2"/>
  <c r="G14" i="2"/>
  <c r="G12" i="2"/>
  <c r="G22" i="2"/>
  <c r="G9" i="2"/>
  <c r="G21" i="2"/>
  <c r="G18" i="2"/>
  <c r="G25" i="2"/>
  <c r="G29" i="2"/>
  <c r="G20" i="2"/>
  <c r="G6" i="2"/>
  <c r="G7" i="2"/>
  <c r="G15" i="2"/>
  <c r="G17" i="2"/>
  <c r="G24" i="2"/>
  <c r="G16" i="2"/>
  <c r="G43" i="2"/>
  <c r="G23" i="2"/>
  <c r="G26" i="2"/>
  <c r="G27" i="2"/>
  <c r="G31" i="2"/>
  <c r="H28" i="6"/>
  <c r="E34" i="6"/>
  <c r="E33" i="6"/>
  <c r="E32" i="6"/>
  <c r="E31" i="6"/>
  <c r="E30" i="6"/>
  <c r="E29" i="6"/>
  <c r="E28" i="6"/>
  <c r="G32" i="2"/>
  <c r="G28" i="2"/>
  <c r="G33" i="2"/>
  <c r="G34" i="2"/>
  <c r="G35" i="2"/>
  <c r="G36" i="2"/>
  <c r="G37" i="2"/>
  <c r="G38" i="2"/>
  <c r="G39" i="2"/>
  <c r="G46" i="2"/>
  <c r="G40" i="2"/>
  <c r="G48" i="2"/>
  <c r="G49" i="2"/>
  <c r="G50" i="2"/>
  <c r="G19" i="2"/>
  <c r="G62" i="2"/>
  <c r="G63" i="2"/>
  <c r="G73" i="2"/>
  <c r="G66" i="2"/>
  <c r="G51" i="2"/>
  <c r="G52" i="2"/>
  <c r="G53" i="2"/>
  <c r="G54" i="2"/>
  <c r="G56" i="2"/>
  <c r="G41" i="2"/>
  <c r="G58" i="2"/>
  <c r="G42" i="2"/>
  <c r="G60" i="2"/>
  <c r="G47" i="2"/>
  <c r="G55" i="2"/>
  <c r="G59" i="2"/>
  <c r="G57" i="2"/>
  <c r="G61" i="2"/>
  <c r="G64" i="2"/>
  <c r="G104" i="2"/>
  <c r="G69" i="2"/>
  <c r="G68" i="2"/>
  <c r="G70" i="2"/>
  <c r="G71" i="2"/>
  <c r="G65" i="2"/>
  <c r="G774" i="2"/>
  <c r="G773" i="2"/>
  <c r="G772" i="2"/>
  <c r="G771" i="2"/>
  <c r="G770" i="2"/>
  <c r="G769" i="2"/>
  <c r="G768" i="2"/>
  <c r="G765" i="2"/>
  <c r="G767" i="2"/>
  <c r="G766" i="2"/>
  <c r="G760" i="2"/>
  <c r="G759" i="2"/>
  <c r="G755" i="2"/>
  <c r="G751" i="2"/>
  <c r="G753" i="2"/>
  <c r="G746" i="2"/>
  <c r="G742" i="2"/>
  <c r="G739" i="2"/>
  <c r="G738" i="2"/>
  <c r="G737" i="2"/>
  <c r="G736" i="2"/>
  <c r="G735" i="2"/>
  <c r="G734" i="2"/>
  <c r="G733" i="2"/>
  <c r="G728" i="2"/>
  <c r="G730" i="2"/>
  <c r="G729" i="2"/>
  <c r="G723" i="2"/>
  <c r="G722" i="2"/>
  <c r="G721" i="2"/>
  <c r="G720" i="2"/>
  <c r="G719" i="2"/>
  <c r="G718" i="2"/>
  <c r="G717" i="2"/>
  <c r="G725" i="2"/>
  <c r="G716" i="2"/>
  <c r="G715" i="2"/>
  <c r="G714" i="2"/>
  <c r="G713" i="2"/>
  <c r="G712" i="2"/>
  <c r="G711" i="2"/>
  <c r="G710" i="2"/>
  <c r="G709" i="2"/>
  <c r="G708" i="2"/>
  <c r="G707" i="2"/>
  <c r="G706" i="2"/>
  <c r="G705" i="2"/>
  <c r="G704" i="2"/>
  <c r="G703" i="2"/>
  <c r="G702" i="2"/>
  <c r="G701" i="2"/>
  <c r="G700" i="2"/>
  <c r="G699" i="2"/>
  <c r="G698" i="2"/>
  <c r="G697" i="2"/>
  <c r="G696" i="2"/>
  <c r="G695" i="2"/>
  <c r="G694" i="2"/>
  <c r="G693" i="2"/>
  <c r="G692" i="2"/>
  <c r="G691" i="2"/>
  <c r="G688" i="2"/>
  <c r="G687" i="2"/>
  <c r="G686" i="2"/>
  <c r="G685" i="2"/>
  <c r="G684" i="2"/>
  <c r="G683" i="2"/>
  <c r="G682" i="2"/>
  <c r="G689" i="2"/>
  <c r="G681" i="2"/>
  <c r="G677" i="2"/>
  <c r="G676" i="2"/>
  <c r="G675" i="2"/>
  <c r="G674" i="2"/>
  <c r="G678" i="2"/>
  <c r="G673" i="2"/>
  <c r="G667" i="2"/>
  <c r="G666" i="2"/>
  <c r="G665" i="2"/>
  <c r="G664" i="2"/>
  <c r="G663" i="2"/>
  <c r="G662" i="2"/>
  <c r="G661" i="2"/>
  <c r="G660" i="2"/>
  <c r="G659" i="2"/>
  <c r="G658" i="2"/>
  <c r="G657" i="2"/>
  <c r="G669" i="2"/>
  <c r="G668" i="2"/>
  <c r="G653" i="2"/>
  <c r="G652" i="2"/>
  <c r="G651" i="2"/>
  <c r="G650" i="2"/>
  <c r="G649" i="2"/>
  <c r="G648" i="2"/>
  <c r="G647" i="2"/>
  <c r="G655" i="2"/>
  <c r="G642" i="2"/>
  <c r="G641" i="2"/>
  <c r="G640" i="2"/>
  <c r="G639" i="2"/>
  <c r="G645" i="2"/>
  <c r="G637" i="2"/>
  <c r="G633" i="2"/>
  <c r="G632" i="2"/>
  <c r="G631" i="2"/>
  <c r="G630" i="2"/>
  <c r="G629" i="2"/>
  <c r="G628" i="2"/>
  <c r="G627" i="2"/>
  <c r="G626" i="2"/>
  <c r="G625" i="2"/>
  <c r="G624" i="2"/>
  <c r="G623" i="2"/>
  <c r="G622" i="2"/>
  <c r="G621" i="2"/>
  <c r="G620" i="2"/>
  <c r="G619" i="2"/>
  <c r="G618" i="2"/>
  <c r="G617" i="2"/>
  <c r="G616" i="2"/>
  <c r="G636" i="2"/>
  <c r="G615" i="2"/>
  <c r="G610" i="2"/>
  <c r="G609" i="2"/>
  <c r="G608" i="2"/>
  <c r="G607" i="2"/>
  <c r="G606" i="2"/>
  <c r="G605" i="2"/>
  <c r="G604" i="2"/>
  <c r="G603" i="2"/>
  <c r="G602" i="2"/>
  <c r="G601" i="2"/>
  <c r="G600" i="2"/>
  <c r="G599" i="2"/>
  <c r="G598" i="2"/>
  <c r="G597" i="2"/>
  <c r="G596" i="2"/>
  <c r="G595" i="2"/>
  <c r="G594" i="2"/>
  <c r="G593" i="2"/>
  <c r="G592" i="2"/>
  <c r="G591" i="2"/>
  <c r="G590" i="2"/>
  <c r="G589" i="2"/>
  <c r="G588" i="2"/>
  <c r="G582" i="2"/>
  <c r="G581" i="2"/>
  <c r="G580" i="2"/>
  <c r="G579" i="2"/>
  <c r="G578" i="2"/>
  <c r="G577" i="2"/>
  <c r="G576" i="2"/>
  <c r="G587" i="2"/>
  <c r="G575" i="2"/>
  <c r="G572" i="2"/>
  <c r="G571" i="2"/>
  <c r="G570" i="2"/>
  <c r="G569" i="2"/>
  <c r="G568" i="2"/>
  <c r="G567" i="2"/>
  <c r="G566" i="2"/>
  <c r="G565" i="2"/>
  <c r="G564" i="2"/>
  <c r="G563" i="2"/>
  <c r="G562" i="2"/>
  <c r="G561" i="2"/>
  <c r="G560" i="2"/>
  <c r="G559" i="2"/>
  <c r="G558" i="2"/>
  <c r="G557" i="2"/>
  <c r="G556" i="2"/>
  <c r="G555" i="2"/>
  <c r="G554" i="2"/>
  <c r="G553" i="2"/>
  <c r="G552" i="2"/>
  <c r="G551" i="2"/>
  <c r="G550" i="2"/>
  <c r="G542" i="2"/>
  <c r="G541" i="2"/>
  <c r="G540" i="2"/>
  <c r="G539" i="2"/>
  <c r="G538" i="2"/>
  <c r="G537" i="2"/>
  <c r="G536" i="2"/>
  <c r="G535" i="2"/>
  <c r="G534" i="2"/>
  <c r="G533" i="2"/>
  <c r="G532" i="2"/>
  <c r="G531" i="2"/>
  <c r="G530" i="2"/>
  <c r="G529" i="2"/>
  <c r="G528" i="2"/>
  <c r="G527" i="2"/>
  <c r="G526" i="2"/>
  <c r="G525" i="2"/>
  <c r="G524" i="2"/>
  <c r="G523" i="2"/>
  <c r="G522" i="2"/>
  <c r="G544" i="2"/>
  <c r="G548" i="2"/>
  <c r="G547" i="2"/>
  <c r="G521" i="2"/>
  <c r="G517" i="2"/>
  <c r="G516" i="2"/>
  <c r="G515" i="2"/>
  <c r="G514" i="2"/>
  <c r="G513" i="2"/>
  <c r="G512" i="2"/>
  <c r="G511" i="2"/>
  <c r="G510" i="2"/>
  <c r="G509" i="2"/>
  <c r="G508" i="2"/>
  <c r="G507" i="2"/>
  <c r="G506" i="2"/>
  <c r="G505" i="2"/>
  <c r="G504" i="2"/>
  <c r="G500" i="2"/>
  <c r="G499" i="2"/>
  <c r="G498" i="2"/>
  <c r="G497" i="2"/>
  <c r="G496" i="2"/>
  <c r="G495" i="2"/>
  <c r="G494" i="2"/>
  <c r="G493" i="2"/>
  <c r="G492" i="2"/>
  <c r="G491" i="2"/>
  <c r="G474" i="2"/>
  <c r="G473" i="2"/>
  <c r="G472" i="2"/>
  <c r="G471" i="2"/>
  <c r="G470" i="2"/>
  <c r="G469" i="2"/>
  <c r="G468" i="2"/>
  <c r="G467" i="2"/>
  <c r="G466" i="2"/>
  <c r="G465" i="2"/>
  <c r="G464" i="2"/>
  <c r="G463" i="2"/>
  <c r="G462" i="2"/>
  <c r="G461" i="2"/>
  <c r="G460" i="2"/>
  <c r="G481" i="2"/>
  <c r="G480" i="2"/>
  <c r="G479" i="2"/>
  <c r="G478" i="2"/>
  <c r="G477" i="2"/>
  <c r="G459" i="2"/>
  <c r="G453" i="2"/>
  <c r="G452" i="2"/>
  <c r="G451" i="2"/>
  <c r="G450" i="2"/>
  <c r="G449" i="2"/>
  <c r="G448" i="2"/>
  <c r="G447" i="2"/>
  <c r="G446" i="2"/>
  <c r="G445" i="2"/>
  <c r="G444" i="2"/>
  <c r="G443" i="2"/>
  <c r="G442" i="2"/>
  <c r="G441" i="2"/>
  <c r="G440" i="2"/>
  <c r="G439" i="2"/>
  <c r="G458" i="2"/>
  <c r="G457" i="2"/>
  <c r="G456" i="2"/>
  <c r="G455" i="2"/>
  <c r="G434" i="2"/>
  <c r="G433" i="2"/>
  <c r="G432" i="2"/>
  <c r="G431" i="2"/>
  <c r="G430" i="2"/>
  <c r="G429" i="2"/>
  <c r="G428" i="2"/>
  <c r="G427" i="2"/>
  <c r="G426" i="2"/>
  <c r="G425" i="2"/>
  <c r="G424" i="2"/>
  <c r="G423" i="2"/>
  <c r="G422" i="2"/>
  <c r="G421" i="2"/>
  <c r="G420" i="2"/>
  <c r="G419" i="2"/>
  <c r="G418" i="2"/>
  <c r="G417" i="2"/>
  <c r="G416" i="2"/>
  <c r="G437" i="2"/>
  <c r="G436" i="2"/>
  <c r="G415" i="2"/>
  <c r="G412" i="2"/>
  <c r="G411" i="2"/>
  <c r="G410" i="2"/>
  <c r="G409" i="2"/>
  <c r="G408" i="2"/>
  <c r="G407" i="2"/>
  <c r="G406" i="2"/>
  <c r="G405" i="2"/>
  <c r="G404" i="2"/>
  <c r="G403" i="2"/>
  <c r="G402" i="2"/>
  <c r="G401" i="2"/>
  <c r="G400" i="2"/>
  <c r="G413" i="2"/>
  <c r="G414" i="2"/>
  <c r="G394" i="2"/>
  <c r="G393" i="2"/>
  <c r="G392" i="2"/>
  <c r="G391" i="2"/>
  <c r="G390" i="2"/>
  <c r="G389" i="2"/>
  <c r="G388" i="2"/>
  <c r="G387" i="2"/>
  <c r="G386" i="2"/>
  <c r="G385" i="2"/>
  <c r="G384" i="2"/>
  <c r="G383" i="2"/>
  <c r="G382" i="2"/>
  <c r="G381" i="2"/>
  <c r="G380" i="2"/>
  <c r="G379" i="2"/>
  <c r="G378" i="2"/>
  <c r="G395" i="2"/>
  <c r="G377" i="2"/>
  <c r="G373" i="2"/>
  <c r="G372" i="2"/>
  <c r="G371" i="2"/>
  <c r="G370" i="2"/>
  <c r="G369" i="2"/>
  <c r="G368" i="2"/>
  <c r="G367" i="2"/>
  <c r="G366" i="2"/>
  <c r="G365" i="2"/>
  <c r="G364" i="2"/>
  <c r="G363" i="2"/>
  <c r="G362" i="2"/>
  <c r="G361" i="2"/>
  <c r="G360" i="2"/>
  <c r="G359" i="2"/>
  <c r="G358" i="2"/>
  <c r="G357" i="2"/>
  <c r="G356" i="2"/>
  <c r="G355" i="2"/>
  <c r="G354" i="2"/>
  <c r="G353" i="2"/>
  <c r="G352" i="2"/>
  <c r="G343" i="2"/>
  <c r="G342" i="2"/>
  <c r="G341" i="2"/>
  <c r="G340" i="2"/>
  <c r="G339" i="2"/>
  <c r="G338" i="2"/>
  <c r="G337" i="2"/>
  <c r="G336" i="2"/>
  <c r="G335" i="2"/>
  <c r="G334" i="2"/>
  <c r="G333" i="2"/>
  <c r="G332" i="2"/>
  <c r="G331" i="2"/>
  <c r="G330" i="2"/>
  <c r="G329" i="2"/>
  <c r="G328" i="2"/>
  <c r="G327" i="2"/>
  <c r="G326" i="2"/>
  <c r="G344" i="2"/>
  <c r="G323" i="2"/>
  <c r="G322" i="2"/>
  <c r="G321" i="2"/>
  <c r="G320" i="2"/>
  <c r="G319" i="2"/>
  <c r="G318" i="2"/>
  <c r="G317" i="2"/>
  <c r="G316" i="2"/>
  <c r="G315" i="2"/>
  <c r="G314" i="2"/>
  <c r="G313" i="2"/>
  <c r="G312" i="2"/>
  <c r="G311" i="2"/>
  <c r="G310" i="2"/>
  <c r="G309" i="2"/>
  <c r="G308" i="2"/>
  <c r="G307" i="2"/>
  <c r="G306" i="2"/>
  <c r="G305" i="2"/>
  <c r="G304" i="2"/>
  <c r="G300" i="2"/>
  <c r="G299" i="2"/>
  <c r="G298" i="2"/>
  <c r="G297" i="2"/>
  <c r="G296" i="2"/>
  <c r="G295" i="2"/>
  <c r="G294" i="2"/>
  <c r="G293" i="2"/>
  <c r="G292" i="2"/>
  <c r="G291" i="2"/>
  <c r="G290" i="2"/>
  <c r="G289" i="2"/>
  <c r="G288" i="2"/>
  <c r="G287" i="2"/>
  <c r="G286" i="2"/>
  <c r="G285" i="2"/>
  <c r="G284" i="2"/>
  <c r="G283" i="2"/>
  <c r="G282" i="2"/>
  <c r="G281" i="2"/>
  <c r="G301" i="2"/>
  <c r="G280" i="2"/>
  <c r="G272" i="2"/>
  <c r="G271" i="2"/>
  <c r="G270" i="2"/>
  <c r="G269" i="2"/>
  <c r="G268" i="2"/>
  <c r="G267" i="2"/>
  <c r="G266" i="2"/>
  <c r="G265" i="2"/>
  <c r="G264" i="2"/>
  <c r="G263" i="2"/>
  <c r="G262" i="2"/>
  <c r="G261" i="2"/>
  <c r="G276" i="2"/>
  <c r="G275" i="2"/>
  <c r="G274" i="2"/>
  <c r="G260" i="2"/>
  <c r="G256" i="2"/>
  <c r="G255" i="2"/>
  <c r="G254" i="2"/>
  <c r="G253" i="2"/>
  <c r="G252" i="2"/>
  <c r="G251" i="2"/>
  <c r="G250" i="2"/>
  <c r="G249" i="2"/>
  <c r="G248" i="2"/>
  <c r="G247" i="2"/>
  <c r="G246" i="2"/>
  <c r="G245" i="2"/>
  <c r="G241" i="2"/>
  <c r="G240" i="2"/>
  <c r="G239" i="2"/>
  <c r="G238" i="2"/>
  <c r="G237" i="2"/>
  <c r="G236" i="2"/>
  <c r="G235" i="2"/>
  <c r="G234" i="2"/>
  <c r="G233" i="2"/>
  <c r="G232" i="2"/>
  <c r="G231" i="2"/>
  <c r="G230" i="2"/>
  <c r="G244" i="2"/>
  <c r="G243" i="2"/>
  <c r="G223" i="2"/>
  <c r="G222" i="2"/>
  <c r="G221" i="2"/>
  <c r="G220" i="2"/>
  <c r="G219" i="2"/>
  <c r="G218" i="2"/>
  <c r="G217" i="2"/>
  <c r="G216" i="2"/>
  <c r="G215" i="2"/>
  <c r="G214" i="2"/>
  <c r="G213" i="2"/>
  <c r="G212" i="2"/>
  <c r="G211" i="2"/>
  <c r="G210" i="2"/>
  <c r="G209" i="2"/>
  <c r="G208" i="2"/>
  <c r="G227" i="2"/>
  <c r="G226" i="2"/>
  <c r="G225" i="2"/>
  <c r="G224" i="2"/>
  <c r="G204" i="2"/>
  <c r="G203" i="2"/>
  <c r="G202" i="2"/>
  <c r="G201" i="2"/>
  <c r="G200" i="2"/>
  <c r="G199" i="2"/>
  <c r="G198" i="2"/>
  <c r="G197" i="2"/>
  <c r="G196" i="2"/>
  <c r="G195" i="2"/>
  <c r="G194" i="2"/>
  <c r="G193" i="2"/>
  <c r="G192" i="2"/>
  <c r="G191" i="2"/>
  <c r="G190" i="2"/>
  <c r="G189" i="2"/>
  <c r="G188" i="2"/>
  <c r="G187" i="2"/>
  <c r="G186" i="2"/>
  <c r="G207" i="2"/>
  <c r="G206" i="2"/>
  <c r="G205" i="2"/>
  <c r="G182" i="2"/>
  <c r="G181" i="2"/>
  <c r="G180" i="2"/>
  <c r="G179" i="2"/>
  <c r="G178" i="2"/>
  <c r="G177" i="2"/>
  <c r="G176" i="2"/>
  <c r="G175" i="2"/>
  <c r="G174" i="2"/>
  <c r="G173" i="2"/>
  <c r="G172" i="2"/>
  <c r="G171" i="2"/>
  <c r="G170" i="2"/>
  <c r="G183" i="2"/>
  <c r="G169" i="2"/>
  <c r="G165" i="2"/>
  <c r="G164" i="2"/>
  <c r="G163" i="2"/>
  <c r="G162" i="2"/>
  <c r="G161" i="2"/>
  <c r="G160" i="2"/>
  <c r="G159" i="2"/>
  <c r="G158" i="2"/>
  <c r="G157" i="2"/>
  <c r="G156" i="2"/>
  <c r="G155" i="2"/>
  <c r="G154" i="2"/>
  <c r="G153" i="2"/>
  <c r="G152" i="2"/>
  <c r="G151" i="2"/>
  <c r="G150" i="2"/>
  <c r="G149" i="2"/>
  <c r="G148" i="2"/>
  <c r="G147" i="2"/>
  <c r="G146" i="2"/>
  <c r="G145" i="2"/>
  <c r="G167" i="2"/>
  <c r="G166" i="2"/>
  <c r="G144" i="2"/>
  <c r="G141" i="2"/>
  <c r="G140" i="2"/>
  <c r="G139" i="2"/>
  <c r="G138" i="2"/>
  <c r="G137" i="2"/>
  <c r="G136" i="2"/>
  <c r="G135" i="2"/>
  <c r="G134" i="2"/>
  <c r="G133" i="2"/>
  <c r="G132" i="2"/>
  <c r="G131" i="2"/>
  <c r="G130" i="2"/>
  <c r="G129" i="2"/>
  <c r="G128" i="2"/>
  <c r="G127" i="2"/>
  <c r="G126" i="2"/>
  <c r="G125" i="2"/>
  <c r="G124" i="2"/>
  <c r="G142" i="2"/>
  <c r="G121" i="2"/>
  <c r="G120" i="2"/>
  <c r="G119" i="2"/>
  <c r="G118" i="2"/>
  <c r="G117" i="2"/>
  <c r="G116" i="2"/>
  <c r="G115" i="2"/>
  <c r="G114" i="2"/>
  <c r="G113" i="2"/>
  <c r="G112" i="2"/>
  <c r="G111" i="2"/>
  <c r="G110" i="2"/>
  <c r="G109" i="2"/>
  <c r="G108" i="2"/>
  <c r="G123" i="2"/>
  <c r="G103" i="2"/>
  <c r="G102" i="2"/>
  <c r="G101" i="2"/>
  <c r="G100" i="2"/>
  <c r="G99" i="2"/>
  <c r="G98" i="2"/>
  <c r="G97" i="2"/>
  <c r="G96" i="2"/>
  <c r="G95" i="2"/>
  <c r="G94" i="2"/>
  <c r="G93" i="2"/>
  <c r="G92" i="2"/>
  <c r="G107" i="2"/>
  <c r="G106" i="2"/>
  <c r="G105" i="2"/>
  <c r="G91" i="2"/>
  <c r="G87" i="2"/>
  <c r="G86" i="2"/>
  <c r="G85" i="2"/>
  <c r="G84" i="2"/>
  <c r="G83" i="2"/>
  <c r="G82" i="2"/>
  <c r="G81" i="2"/>
  <c r="G80" i="2"/>
  <c r="G79" i="2"/>
  <c r="G78" i="2"/>
  <c r="G77" i="2"/>
  <c r="G76" i="2"/>
  <c r="G75" i="2"/>
  <c r="G90" i="2"/>
  <c r="G89" i="2"/>
  <c r="G72" i="2"/>
  <c r="G67" i="2"/>
</calcChain>
</file>

<file path=xl/sharedStrings.xml><?xml version="1.0" encoding="utf-8"?>
<sst xmlns="http://schemas.openxmlformats.org/spreadsheetml/2006/main" count="7026" uniqueCount="2989">
  <si>
    <t>Product code / Volume no.</t>
  </si>
  <si>
    <t>Book Series</t>
  </si>
  <si>
    <t>Book title</t>
  </si>
  <si>
    <t>Year</t>
  </si>
  <si>
    <t>Print ISBN-10</t>
  </si>
  <si>
    <t>Print ISBN-13</t>
  </si>
  <si>
    <t>Lyell Collection URL</t>
  </si>
  <si>
    <t>Online status</t>
  </si>
  <si>
    <t>Print copies in stock?</t>
  </si>
  <si>
    <t>Print list price</t>
  </si>
  <si>
    <t>SP Archive</t>
  </si>
  <si>
    <t>SP558</t>
  </si>
  <si>
    <t>Special Publications</t>
  </si>
  <si>
    <t>New Insights into the Colombian Andes: Magmatism, Metamorphism and Exhumation</t>
  </si>
  <si>
    <t>N/A</t>
  </si>
  <si>
    <t>978-1-78620-694-7</t>
  </si>
  <si>
    <t>In progress</t>
  </si>
  <si>
    <t>Date and price to be confirmed.</t>
  </si>
  <si>
    <t>To be confirmed</t>
  </si>
  <si>
    <t>SP557</t>
  </si>
  <si>
    <t>Structure and Evolution of Laurussian Orogens in Europe and North America from Geophysical Investigations</t>
  </si>
  <si>
    <t>978-1-78620-693-0</t>
  </si>
  <si>
    <t>SP555</t>
  </si>
  <si>
    <t>The Miocene Extensional Pannonian Superbasin, Volume 2: Geoenergy Exploration</t>
  </si>
  <si>
    <t>978-1-78620-685-5</t>
  </si>
  <si>
    <t>SP554</t>
  </si>
  <si>
    <t>The Miocene Extensional Pannonian Superbasin, Volume 1: Regional Geology</t>
  </si>
  <si>
    <t>978-1-78620-684-8</t>
  </si>
  <si>
    <t>SP553</t>
  </si>
  <si>
    <t>Oceanic Gateways: Modern and Ancient Analogues and their Conceptual and Economic Implications</t>
  </si>
  <si>
    <t>978-1-78620-634-3</t>
  </si>
  <si>
    <t>EGC001</t>
  </si>
  <si>
    <t>Energy Geoscience Conference Series</t>
  </si>
  <si>
    <t>Powering the Energy Transition through Subsurface Collaboration: Proceedings of the 1st Energy Geoscience Conference</t>
  </si>
  <si>
    <t>978-1-78620-632-9</t>
  </si>
  <si>
    <t>SP552</t>
  </si>
  <si>
    <t xml:space="preserve">Mineral Resources Related to Ultramafic–Mafic Magmas, from Archean to Present: Old Deposits and New Prospects of Chromite, Ti–V–Magnetite and Ni–Cu–(PGE) Sulfides </t>
  </si>
  <si>
    <t>978-1-78620-629-9</t>
  </si>
  <si>
    <t>M0057</t>
  </si>
  <si>
    <t>Memoirs</t>
  </si>
  <si>
    <r>
      <t>Sedimentary Successions of the Arctic Region and their Hydrocarbon Prospectivity</t>
    </r>
    <r>
      <rPr>
        <b/>
        <sz val="8"/>
        <rFont val="Arial"/>
        <family val="2"/>
      </rPr>
      <t xml:space="preserve"> (Print: set of 2 paperback volumes)</t>
    </r>
  </si>
  <si>
    <t>978-1-78620-545-2</t>
  </si>
  <si>
    <t>SPE31</t>
  </si>
  <si>
    <t>Engineering Geology Special Publications</t>
  </si>
  <si>
    <t>Engineering Geology of Groundwater in Design and Construction</t>
  </si>
  <si>
    <t>978-1-78620-636-7</t>
  </si>
  <si>
    <t>SP550</t>
  </si>
  <si>
    <t>Geology, Tectonics and Natural Resources of Arabia and its Surroundings</t>
  </si>
  <si>
    <t>978-1-78620-622-0</t>
  </si>
  <si>
    <t>SPE30</t>
  </si>
  <si>
    <t>The Peter Fookes Engineering Geological Legacy in Geomodels, Geomaterials and Geomorphology</t>
  </si>
  <si>
    <t>978-1-78620-690-9</t>
  </si>
  <si>
    <t>SP556</t>
  </si>
  <si>
    <t>Bedding Surfaces: True Substrates and Earth's Historical Archive</t>
  </si>
  <si>
    <t>978-1-78620-692-3</t>
  </si>
  <si>
    <t>SP551</t>
  </si>
  <si>
    <t>Alkaline Rocks: Economic and Geodynamic Significance through Geological Time</t>
  </si>
  <si>
    <t>978-1-78620-627-5</t>
  </si>
  <si>
    <t>SP549</t>
  </si>
  <si>
    <t>Asian Geodynamics, Climate and Biodiversity</t>
  </si>
  <si>
    <t>978-1-78620-620-6</t>
  </si>
  <si>
    <t>SP548</t>
  </si>
  <si>
    <t>Carbonate Reservoirs: Applying Current Knowledge to Future Energy Needs</t>
  </si>
  <si>
    <t>978-1-78620-618-3</t>
  </si>
  <si>
    <t>M0061</t>
  </si>
  <si>
    <t>Sedimentary Dynamics in the Albertine Rift Valley, Equatorial East Africa</t>
  </si>
  <si>
    <t>978-1-78620-687-9</t>
  </si>
  <si>
    <t>SP545</t>
  </si>
  <si>
    <t>Cretaceous Project 200, Volume 2: Regional Studies</t>
  </si>
  <si>
    <t>978-1-78620-610-7</t>
  </si>
  <si>
    <t>Published</t>
  </si>
  <si>
    <t>Yes</t>
  </si>
  <si>
    <t>SP544</t>
  </si>
  <si>
    <t>Cretaceous Project 200, Volume 1: The Cretaceous World</t>
  </si>
  <si>
    <t>978-1-78620-601-5</t>
  </si>
  <si>
    <t>SR028</t>
  </si>
  <si>
    <t>Special Reports</t>
  </si>
  <si>
    <t>A Revised Correlation of the Cretaceous Rocks of the British Isles (paperback)</t>
  </si>
  <si>
    <t>978-1-78620-686-2</t>
  </si>
  <si>
    <t>Content not available on the Lyell Collection.</t>
  </si>
  <si>
    <t>M0060</t>
  </si>
  <si>
    <t>The Emergence of Geophysics: A Journey into the Twentieth Century</t>
  </si>
  <si>
    <t>978-1-78620-625-1</t>
  </si>
  <si>
    <t>Open Access</t>
  </si>
  <si>
    <t>SP540</t>
  </si>
  <si>
    <t>Meandering Streamflows: Patterns and Processes across Landscapes and Scales</t>
  </si>
  <si>
    <t>978-1-78620-597-1</t>
  </si>
  <si>
    <t>GOSCOT5P</t>
  </si>
  <si>
    <t>Geology of …</t>
  </si>
  <si>
    <t>The Geology of Scotland, 5th edition (paperback)</t>
  </si>
  <si>
    <t>978-1-78620-613-8</t>
  </si>
  <si>
    <t>GOSCOT5H</t>
  </si>
  <si>
    <t>The Geology of Scotland, 5th edition (hardback)</t>
  </si>
  <si>
    <t>978-1-78620-612-1</t>
  </si>
  <si>
    <t>SP547</t>
  </si>
  <si>
    <t>The Impacts of Igneous Systems on Sedimentary Basins and their Energy Resources </t>
  </si>
  <si>
    <t>978-1-78620-616-9</t>
  </si>
  <si>
    <t>SP546</t>
  </si>
  <si>
    <t>Characterization, Prediction and Modelling of the Crustal Present Day In-Situ Stresses</t>
  </si>
  <si>
    <t>978-1-78620-614-5</t>
  </si>
  <si>
    <t>SP543</t>
  </si>
  <si>
    <t>Geology's Significant Sites and their Contributions to Geoheritage</t>
  </si>
  <si>
    <t>978-1-78620-600-8</t>
  </si>
  <si>
    <t>SP542</t>
  </si>
  <si>
    <t>Supercontinents, Orogenesis and Magmatism</t>
  </si>
  <si>
    <t>978-1-78620-599-5</t>
  </si>
  <si>
    <t>SP541</t>
  </si>
  <si>
    <t>Geological Mapping of Our World and Others</t>
  </si>
  <si>
    <t>978-1-78620-598-8</t>
  </si>
  <si>
    <t>SP539</t>
  </si>
  <si>
    <t>The 2020-21 Eruption of La Soufrière Volcano, St Vincent</t>
  </si>
  <si>
    <t>978-1-78620-596-4</t>
  </si>
  <si>
    <t>SP538</t>
  </si>
  <si>
    <t>The Triassic and Jurassic of the Junggar Basin, China: Advances in Palaeontology and Environments</t>
  </si>
  <si>
    <t>978-1-78620-595-7</t>
  </si>
  <si>
    <t>SP537</t>
  </si>
  <si>
    <t>Minor Minerals, Major Implications: Using Key Mineral Phases to Unravel the Formation and Evolution of Earth's Crust</t>
  </si>
  <si>
    <t>978-1-78620-594-0</t>
  </si>
  <si>
    <t>SP534</t>
  </si>
  <si>
    <t>The Bowland Shale Formation, UK: Processes and Resources</t>
  </si>
  <si>
    <t>978-1-78620-590-2</t>
  </si>
  <si>
    <t>SP525</t>
  </si>
  <si>
    <t>Seismic Geomorphology: Subsurface Analyses, Data Integration and Palaeoenvironment Reconstruction</t>
  </si>
  <si>
    <t>978-1-78620-572-8</t>
  </si>
  <si>
    <t>SP519</t>
  </si>
  <si>
    <t>Volcanic Island: from Hazard Assessment to Risk Mitigation</t>
  </si>
  <si>
    <t>978-1-78620-565-0</t>
  </si>
  <si>
    <t>SP536</t>
  </si>
  <si>
    <t>Geological Disposal of Radioactive Waste in Deep Clay Formations: 40 Years of RD&amp;D in the Belgian URL HADES</t>
  </si>
  <si>
    <t>978-1-78620-593-3</t>
  </si>
  <si>
    <t>SP535</t>
  </si>
  <si>
    <t>Ice Ages, Climate Dynamics and Biotic Events: The Late Pennsylvanian World</t>
  </si>
  <si>
    <t>978-1-78620-591-9</t>
  </si>
  <si>
    <t>SP533</t>
  </si>
  <si>
    <t>A Global Synthesis of the Ordovician System: Part 2</t>
  </si>
  <si>
    <t>978-1-78620-589-6</t>
  </si>
  <si>
    <t>SP532</t>
  </si>
  <si>
    <t>A Global Synthesis of the Ordovician System: Part 1</t>
  </si>
  <si>
    <t>978-1-78620-588-9</t>
  </si>
  <si>
    <t>SP531</t>
  </si>
  <si>
    <t>The Consummate Geoscientist: A Celebration of the Career of Maarten de Wit</t>
  </si>
  <si>
    <t>978-1-78620-579-7</t>
  </si>
  <si>
    <t>SP530</t>
  </si>
  <si>
    <t xml:space="preserve">Visages of Geodiversity and Geoheritage </t>
  </si>
  <si>
    <t>978-1-78620-578-0</t>
  </si>
  <si>
    <t>SP529</t>
  </si>
  <si>
    <t>Conservation Palaeobiology of Marine Ecosystems</t>
  </si>
  <si>
    <t>978-1-78620-577-3</t>
  </si>
  <si>
    <t>SP528</t>
  </si>
  <si>
    <t>Enabling Secure Subsurface Storage in Future Energy System</t>
  </si>
  <si>
    <t>978-1-78620-576-6</t>
  </si>
  <si>
    <t>SP527</t>
  </si>
  <si>
    <t>Core Values: the Role of Core in Twenty-first Century Reservoir Characterization</t>
  </si>
  <si>
    <t>978-1-78620-575-9</t>
  </si>
  <si>
    <t>SP526</t>
  </si>
  <si>
    <t>The Green Stone Age: Exploration and Exploitation of Minerals for Green Technologies</t>
  </si>
  <si>
    <t>978-1-78620-573-5</t>
  </si>
  <si>
    <t>SP524</t>
  </si>
  <si>
    <t>Tectonic Development, Thermal History and Hydrocarbon Habitat Models of Transform Margins: their Differences from Rifted Margins</t>
  </si>
  <si>
    <t>978-1-78620-571-1</t>
  </si>
  <si>
    <t>SP523</t>
  </si>
  <si>
    <t>Straits and Seaways: Controls, Processes and Implications in Modern and Ancient Systems</t>
  </si>
  <si>
    <t>978-1-78620-570-4</t>
  </si>
  <si>
    <t>SP522</t>
  </si>
  <si>
    <t>Ichnology in Shallow-marine and Transitional Environments</t>
  </si>
  <si>
    <t>978-1-78620-568-1</t>
  </si>
  <si>
    <t>SP520</t>
  </si>
  <si>
    <t>Volcanic Processes in the Sedimentary Record: when Volcanoes meet the Environment</t>
  </si>
  <si>
    <t>978-1-78620-566-7</t>
  </si>
  <si>
    <t>SP517</t>
  </si>
  <si>
    <t>The Chalk Aquifers of Northern Europe</t>
  </si>
  <si>
    <t>978-1-78620-551-3</t>
  </si>
  <si>
    <t>SP515</t>
  </si>
  <si>
    <t xml:space="preserve">Quaternary Geoarchaeology of India </t>
  </si>
  <si>
    <t>978-1-78620-548-3</t>
  </si>
  <si>
    <t>M0059</t>
  </si>
  <si>
    <t>Sequence stratigraphy of the Jurassic – Lowermost Cretaceous (Hettangian-Berriasian) of the North Sea region</t>
  </si>
  <si>
    <t>978-1-78620-592-6</t>
  </si>
  <si>
    <t>M0056</t>
  </si>
  <si>
    <t>The Geochemistry and Geophysics of the Antarctic Mantle</t>
  </si>
  <si>
    <t>978-1-78620-467-7</t>
  </si>
  <si>
    <t>GIP001</t>
  </si>
  <si>
    <t>Geoscience in Practice</t>
  </si>
  <si>
    <t>Deciphering Earth's History: the Practice of Stratigraphy</t>
  </si>
  <si>
    <t>978-1-78620-574-2</t>
  </si>
  <si>
    <t>ePub available for purchase for personal use (see Ebooks tab)</t>
  </si>
  <si>
    <t>eBook</t>
  </si>
  <si>
    <t>Pay-per-view</t>
  </si>
  <si>
    <t>SP521</t>
  </si>
  <si>
    <t xml:space="preserve">Mesozoic Biological Events and Ecosystems in East Asia </t>
  </si>
  <si>
    <t>978-1-78620-567-4</t>
  </si>
  <si>
    <t>SP518</t>
  </si>
  <si>
    <t>Large Igneous Provinces and their Plumbing Systems</t>
  </si>
  <si>
    <t>978-1-78620-552-0</t>
  </si>
  <si>
    <t>SP516</t>
  </si>
  <si>
    <t>Recent Advances in Understanding Gold Deposits: From Orogeny to Alluvium</t>
  </si>
  <si>
    <t>978-1-78620-549-0</t>
  </si>
  <si>
    <t>SP513</t>
  </si>
  <si>
    <t>Lamprophyres, Lamproites and Related Rocks: Tracers to Supercontinent Cycles and Metallogenesis</t>
  </si>
  <si>
    <t>978-1-78620-543-8</t>
  </si>
  <si>
    <t>SP512</t>
  </si>
  <si>
    <t>The Carboniferous Timescale</t>
  </si>
  <si>
    <t>978-1-78620-542-1</t>
  </si>
  <si>
    <t>SP505</t>
  </si>
  <si>
    <t>From Continental Shelf to Slope: Mapping the Oceanic Realm</t>
  </si>
  <si>
    <t>978-1-78620-495-0</t>
  </si>
  <si>
    <t>SP495</t>
  </si>
  <si>
    <t>Cross Border Themes in Petroleum Geology II: Atlantic Margin and Barents Sea</t>
  </si>
  <si>
    <t xml:space="preserve">	978-1-78620-458-5</t>
  </si>
  <si>
    <t>451-500</t>
  </si>
  <si>
    <t>SP494</t>
  </si>
  <si>
    <t>Cross Border Themes in Petroleum Geology I: The North Sea</t>
  </si>
  <si>
    <t>978-1-78620-457-8</t>
  </si>
  <si>
    <t>SP485</t>
  </si>
  <si>
    <t xml:space="preserve">The Great Ordovician Biodiversification Event: Insights from the Tafilalt Biota, Morocco </t>
  </si>
  <si>
    <t>978-1-78620-407-3</t>
  </si>
  <si>
    <t>M0058</t>
  </si>
  <si>
    <t xml:space="preserve">The History of the Study of Landforms or the Development of Geomorphology: Volume 5: Geomorphology in the Second Half of the Twentieth Century </t>
  </si>
  <si>
    <t>978-1-78620-564-3</t>
  </si>
  <si>
    <t>MPGFG</t>
  </si>
  <si>
    <t>Miscellaneous titles</t>
  </si>
  <si>
    <t>A Guide to Forensic Geology</t>
  </si>
  <si>
    <t>978-1-78620-488-2</t>
  </si>
  <si>
    <t>SP514</t>
  </si>
  <si>
    <t>Carbon Cycle and Ecosystem Response to the Jenkyns Event in the Early Toarcian (Jurassic)</t>
  </si>
  <si>
    <t>978-1-78620-546-9</t>
  </si>
  <si>
    <t>SP511</t>
  </si>
  <si>
    <t>Applications of Non-Pollen Palynomorphs: from Palaeoenvironmental Reconstructions to Biostratigraphy</t>
  </si>
  <si>
    <t>978-1-78620-541-4</t>
  </si>
  <si>
    <t>SP510</t>
  </si>
  <si>
    <t>Active Volcanoes of China</t>
  </si>
  <si>
    <t>978-1-78620-540-7</t>
  </si>
  <si>
    <t>SP509</t>
  </si>
  <si>
    <t>Seismic Characterization of Carbonate Platforms and Reservoirs</t>
  </si>
  <si>
    <t>978-1-78620-539-1</t>
  </si>
  <si>
    <t>SP508</t>
  </si>
  <si>
    <t xml:space="preserve">Geoethics: Status and Future Perspectives </t>
  </si>
  <si>
    <t>978-1-78620-538-4</t>
  </si>
  <si>
    <t>SP507</t>
  </si>
  <si>
    <t>Stable Isotope Studies of the Water Cycle and Terrestrial Environments</t>
  </si>
  <si>
    <t>978-1-78620-497-4</t>
  </si>
  <si>
    <t>SP506</t>
  </si>
  <si>
    <t>Celebrating 100 Years of Female Fellowship of the Geological Society: Discovering Forgotten Histories</t>
  </si>
  <si>
    <t>978-1-78620-496-7</t>
  </si>
  <si>
    <t>SP504</t>
  </si>
  <si>
    <t>The Basins, Orogens and Evolution of the Southern Gulf of Mexico and Northern Caribbean</t>
  </si>
  <si>
    <t>978-1-78620-494-3</t>
  </si>
  <si>
    <t>SP503</t>
  </si>
  <si>
    <t>Pannotia to Pangaea: Neoproterozoic and Paleozoic Orogenic Cycles in the Circum- Atlantic Region</t>
  </si>
  <si>
    <t>978-1-78620-492-9</t>
  </si>
  <si>
    <t>SP502</t>
  </si>
  <si>
    <t>Mineralisation and sustainable development in West African Craton: From field observations to model</t>
  </si>
  <si>
    <t>978-1-78620-489-9</t>
  </si>
  <si>
    <t>SP501</t>
  </si>
  <si>
    <t>Characterization of Modern and Historical Seismic–Tsunamic Events, and Their Global–Societal Impacts</t>
  </si>
  <si>
    <t>978-1-78620-478-3</t>
  </si>
  <si>
    <t>SP493</t>
  </si>
  <si>
    <t xml:space="preserve">Subsurface Sand Remobilization and Injection </t>
  </si>
  <si>
    <t>978-1-78620-456-1</t>
  </si>
  <si>
    <t>SP492</t>
  </si>
  <si>
    <t>Forensic Soil Science and Geology</t>
  </si>
  <si>
    <t>978-1-78620-455-4</t>
  </si>
  <si>
    <t>M0055</t>
  </si>
  <si>
    <t>Volcanism in Antarctica: 200 million years of subduction, rifting and continental break-up</t>
  </si>
  <si>
    <t>978-1-78620-536-0</t>
  </si>
  <si>
    <t>M0054</t>
  </si>
  <si>
    <t>The Geology and Tectonics of the Jabal Akhdar and Saih Hatat Domes, Oman Mountains</t>
  </si>
  <si>
    <t>978-1-78620-493-6</t>
  </si>
  <si>
    <t>SPE29</t>
  </si>
  <si>
    <t>Geological Hazards in the UK: Their Occurrence, Monitoring and Mitigation</t>
  </si>
  <si>
    <t xml:space="preserve">978-1-78620-461-5 </t>
  </si>
  <si>
    <t>SP500</t>
  </si>
  <si>
    <t>Subaqueous Mass Movements and Their Consequences: Advances in Process Understanding, Monitoring and Hazard Assessments</t>
  </si>
  <si>
    <t>978-1-78620-477-6</t>
  </si>
  <si>
    <t>SP499</t>
  </si>
  <si>
    <t>The Changing Role of Geological Surveys</t>
  </si>
  <si>
    <t>978-1-78620-476-9</t>
  </si>
  <si>
    <t>SP498</t>
  </si>
  <si>
    <t xml:space="preserve">Cretaceous Climate Events and Short-Term Sea-Level Changes </t>
  </si>
  <si>
    <t>978-1-78620-474-5</t>
  </si>
  <si>
    <t>SP497</t>
  </si>
  <si>
    <t>Geomagnetic Field Variations in the Past: New data, applications and recent advances</t>
  </si>
  <si>
    <t>978-1-78620-473-8</t>
  </si>
  <si>
    <t>SP496</t>
  </si>
  <si>
    <t xml:space="preserve">Integrated Fault Seal Analysis </t>
  </si>
  <si>
    <t>978-1-78620-459-2</t>
  </si>
  <si>
    <t>SP491</t>
  </si>
  <si>
    <t>Post-Archean Granitic Rocks: Petrogenetic Processes and Tectonic Environments</t>
  </si>
  <si>
    <t>978-1-78620-448-6</t>
  </si>
  <si>
    <t>SP490</t>
  </si>
  <si>
    <t>Fold and Thrust Belts: Structural Style, Evolution and Exploration</t>
  </si>
  <si>
    <t>978-1-78620-447-9</t>
  </si>
  <si>
    <t>SP489</t>
  </si>
  <si>
    <t xml:space="preserve">Archean Granitoids of India: Windows into Early Earth Tectonics </t>
  </si>
  <si>
    <t>978-1-78620-446-2</t>
  </si>
  <si>
    <t>SP487</t>
  </si>
  <si>
    <t>Folding and Fracturing of Rocks: 50 Years of Research since the Seminal Text Book of J. G. Ramsay</t>
  </si>
  <si>
    <t>978-1-78620-429-5</t>
  </si>
  <si>
    <t>SP486</t>
  </si>
  <si>
    <t>Global Heritage Stone: Worldwide Examples of Heritage Stones</t>
  </si>
  <si>
    <t>978-1-78620-408-0</t>
  </si>
  <si>
    <t>SP484</t>
  </si>
  <si>
    <t xml:space="preserve">Application of Analytical Techniques to Petroleum Systems </t>
  </si>
  <si>
    <t>978-1-78620-406-6</t>
  </si>
  <si>
    <t>SP476</t>
  </si>
  <si>
    <t>Passive Margins: Tectonics, Sedimentation and Magmatism</t>
  </si>
  <si>
    <t>978-1-78620-385-4</t>
  </si>
  <si>
    <t>M0053</t>
  </si>
  <si>
    <t xml:space="preserve">The Middle and Late Jurassic Intrashelf Basin of the Eastern Arabian Peninsula </t>
  </si>
  <si>
    <t>978-1-78620-526-1</t>
  </si>
  <si>
    <t>M0052</t>
  </si>
  <si>
    <t>United Kingdom Oil and Gas Fields: 50th Anniversary Commemorative Volume</t>
  </si>
  <si>
    <t>978-1-78620-475-2</t>
  </si>
  <si>
    <t>M0051</t>
  </si>
  <si>
    <t>New Caledonia: Geology, Geodynamic Evolution and Mineral Resources</t>
  </si>
  <si>
    <t>978-1-78620-466-0</t>
  </si>
  <si>
    <t>M0050</t>
  </si>
  <si>
    <t>Sweden: Lithotectonic framework, tectonic evolution and mineral resources</t>
  </si>
  <si>
    <t>978-1-78620-460-8</t>
  </si>
  <si>
    <t>MPAR4</t>
  </si>
  <si>
    <t>Alkaline Rocks and Carbonatites of the World, Part 4: Antarctica, Asia and Europe (excluding the former USSR), Australasia and Oceanic Islands</t>
  </si>
  <si>
    <t>978-1-78620-445-5</t>
  </si>
  <si>
    <t>SP488</t>
  </si>
  <si>
    <t>River to Reservoir: Geoscience to Engineering</t>
  </si>
  <si>
    <t>978-1-78620-431-8</t>
  </si>
  <si>
    <t>SP483</t>
  </si>
  <si>
    <t>Himalayan Tectonics: A Modern Synthesis</t>
  </si>
  <si>
    <t>978-1-78620-405-9</t>
  </si>
  <si>
    <t>SP482</t>
  </si>
  <si>
    <t>Multiple Roles of Clays in Radioactive Waste Confinement</t>
  </si>
  <si>
    <t>978-1-78620-404-2</t>
  </si>
  <si>
    <t>SP481</t>
  </si>
  <si>
    <t>Crustal Architecture and Evolution of the Himalaya-Karakoram-Tibet Orogen</t>
  </si>
  <si>
    <t>978-1-78620-403-5</t>
  </si>
  <si>
    <t>SP480</t>
  </si>
  <si>
    <t>Aspects of the Life and Works of Archibald Geikie</t>
  </si>
  <si>
    <t>978-1-78620-402-8</t>
  </si>
  <si>
    <t>SP479</t>
  </si>
  <si>
    <t>Groundwater in Fractured Bedrock Environments: Managing Catchment and Subsurface Resources</t>
  </si>
  <si>
    <t>978-1-78620-401-1</t>
  </si>
  <si>
    <t>SP478</t>
  </si>
  <si>
    <t>Metamorphic Geology: Microscale to Mountain Belts</t>
  </si>
  <si>
    <t>978-1-78620-400-4</t>
  </si>
  <si>
    <t>SP477</t>
  </si>
  <si>
    <t xml:space="preserve">Subaqueous Mass Movements and Their Consequences: Assessing Geohazards, Environmental Implications and Economic Significance of Subaqueous Landslides </t>
  </si>
  <si>
    <t>978-1-78620-382-3</t>
  </si>
  <si>
    <t>SP475</t>
  </si>
  <si>
    <t>Glaciated Margins: The Sedimentary and Geophysical Archive</t>
  </si>
  <si>
    <t>978-1-78620-397-7</t>
  </si>
  <si>
    <t>SP474</t>
  </si>
  <si>
    <t>HP-UHP Metamorphism and the Tectonic Evolution of Orogenic Belts</t>
  </si>
  <si>
    <t>978-1-78620-399-1</t>
  </si>
  <si>
    <t>SP473</t>
  </si>
  <si>
    <t>Military Aspects of Geology: Fortification, Excavation and Terrain Evaluation</t>
  </si>
  <si>
    <t>978-1-78620-394-6</t>
  </si>
  <si>
    <t>SP471</t>
  </si>
  <si>
    <t>Palaeozoic Plays of NW Europe</t>
  </si>
  <si>
    <t>978-1-78620-395-3</t>
  </si>
  <si>
    <t>SP470</t>
  </si>
  <si>
    <t>Fifty Years of the Wilson Cycle Concept in Plate Tectonics</t>
  </si>
  <si>
    <t>978-1-78620-383-0</t>
  </si>
  <si>
    <t>SP467</t>
  </si>
  <si>
    <t>Martian Gullies and their Earth Analogues</t>
  </si>
  <si>
    <t>978-1-78620-360-1</t>
  </si>
  <si>
    <t>M0049</t>
  </si>
  <si>
    <t>Palaeozoic-Mesozoic Geology of South Island, New Zealand: Subduction-related Processes Adjacent to SE Gondwana</t>
  </si>
  <si>
    <t>978-1-78620-430-1</t>
  </si>
  <si>
    <t>SP472</t>
  </si>
  <si>
    <t>Cratonic Basin Formation: A Case Study of the Parnaíba Basin, Brazil</t>
  </si>
  <si>
    <t>978-1-78620-396-0</t>
  </si>
  <si>
    <t>SP469</t>
  </si>
  <si>
    <t>Mesozoic Resource Potential in the Southern Permian Basin</t>
  </si>
  <si>
    <t>978-1-78620-384-7</t>
  </si>
  <si>
    <t>SP468</t>
  </si>
  <si>
    <t>From Source to Seep: Geochemical Applications in Hydrocarbon Systems</t>
  </si>
  <si>
    <t>978-1-78620-366-3</t>
  </si>
  <si>
    <t>SP466</t>
  </si>
  <si>
    <t>Advances in Karst Research: Theory, Fieldwork and Applications</t>
  </si>
  <si>
    <t>978-1-78620-359-5</t>
  </si>
  <si>
    <t>SP465</t>
  </si>
  <si>
    <t>History of the European Oil and Gas Industry</t>
  </si>
  <si>
    <t>978-1-78620-363-2</t>
  </si>
  <si>
    <t>SP464</t>
  </si>
  <si>
    <t>Petroleum Geology of the Black Sea</t>
  </si>
  <si>
    <t>978-1-78620-358-8</t>
  </si>
  <si>
    <t>SP463</t>
  </si>
  <si>
    <t>Large Igneous Provinces from Gondwana and Adjacent Regions</t>
  </si>
  <si>
    <t>978-1-78620-325-0</t>
  </si>
  <si>
    <t>SP462</t>
  </si>
  <si>
    <t>Himalayan Cryosphere: Past and Present</t>
  </si>
  <si>
    <t>978-1-78620-324-3</t>
  </si>
  <si>
    <t>SP461</t>
  </si>
  <si>
    <t>Exploration of Subsurface Antarctica: Uncovering Past Changes and Modern Processes</t>
  </si>
  <si>
    <t>978-1-78620-322-9</t>
  </si>
  <si>
    <t>SP460</t>
  </si>
  <si>
    <t>Circum-Arctic Lithosphere Evolution</t>
  </si>
  <si>
    <t>978-1-78620-323-6</t>
  </si>
  <si>
    <t>SP459</t>
  </si>
  <si>
    <t>Subseismic-Scale Reservoir Deformation</t>
  </si>
  <si>
    <t>978-1-78620-321-2</t>
  </si>
  <si>
    <t>SP456</t>
  </si>
  <si>
    <t>Tsunamis: Geology, Hazards and Risks</t>
  </si>
  <si>
    <t>978-1-78620-318-2</t>
  </si>
  <si>
    <t>SP455</t>
  </si>
  <si>
    <t xml:space="preserve">New Perspectives on Pterosaur Palaeobiology </t>
  </si>
  <si>
    <t>978-1-78620-317-5</t>
  </si>
  <si>
    <t>SP453</t>
  </si>
  <si>
    <t>Characterization of Ore-Forming Systems from Geological, Geochemical and Geophysical Studies</t>
  </si>
  <si>
    <t>978-1-78620-313-7</t>
  </si>
  <si>
    <t>SP451</t>
  </si>
  <si>
    <t>Radon, Health and Natural Hazards</t>
  </si>
  <si>
    <t>978-1-78620-308-3</t>
  </si>
  <si>
    <t>SP450</t>
  </si>
  <si>
    <t>The Permian Timescale</t>
  </si>
  <si>
    <t>978-1-78620-282-6</t>
  </si>
  <si>
    <t>401-450</t>
  </si>
  <si>
    <t>SP440</t>
  </si>
  <si>
    <t>Geology and Geomorphology of Alluvial and Fluvial Fans: Terrestrial and Planetary Perspectives</t>
  </si>
  <si>
    <t>978-1-78620-267-3</t>
  </si>
  <si>
    <t>SP435</t>
  </si>
  <si>
    <t>Reservoir Quality of Clastic and Carbonate Rocks: Analysis, Modelling and Prediction</t>
  </si>
  <si>
    <t>978-1-78620-139-3</t>
  </si>
  <si>
    <t>PGC8</t>
  </si>
  <si>
    <t>Petroleum Geology Conference Proceedings</t>
  </si>
  <si>
    <t>Petroleum Geology of NW Europe: 50 years of learning - Proceedings of the 8th Petroleum Geology Conference (Published on behalf of Petroleum Geology Conferences Ltd)</t>
  </si>
  <si>
    <t>978-1-78620-277-2</t>
  </si>
  <si>
    <t>TMS007</t>
  </si>
  <si>
    <t>Published on behalf of The Micropalaeontological Society</t>
  </si>
  <si>
    <t>The Archaeological and Forensic Applications of Microfossils: A Deeper Understanding of Human History</t>
  </si>
  <si>
    <t>978-1-78620-305-2</t>
  </si>
  <si>
    <t>SPE28</t>
  </si>
  <si>
    <t>Engineering Geology and Geomorphology of Glaciated and Periglaciated Terrains: Engineering Group Working Party Report</t>
  </si>
  <si>
    <t>978-1-78620-302-1</t>
  </si>
  <si>
    <t>SP458</t>
  </si>
  <si>
    <t>Geomechanics and Geology</t>
  </si>
  <si>
    <t>978-1-78620-320-5</t>
  </si>
  <si>
    <t>SP457</t>
  </si>
  <si>
    <t>Crustal Evolution of India and Antarctica: The Supercontinent Connection</t>
  </si>
  <si>
    <t>978-1-78620-319-9</t>
  </si>
  <si>
    <t>SP454</t>
  </si>
  <si>
    <t>Geomechanical and Petrophysical Properties of Mudrocks</t>
  </si>
  <si>
    <t>978-1-78620-316-8</t>
  </si>
  <si>
    <t>SP452</t>
  </si>
  <si>
    <t>Geology and Medicine: Historical Connections</t>
  </si>
  <si>
    <t>978-1-78620-283-3</t>
  </si>
  <si>
    <t>SP449</t>
  </si>
  <si>
    <t>Crust–Mantle Interactions and Granitoid Diversification: Insights from Archaean Cratons</t>
  </si>
  <si>
    <t>978-1-78620-280-2</t>
  </si>
  <si>
    <t>SP448</t>
  </si>
  <si>
    <t>Earth System Evolution and Early Life: a Celebration of the Work of Martin Brasier</t>
  </si>
  <si>
    <t>978-1-78620-279-6</t>
  </si>
  <si>
    <t>SP447</t>
  </si>
  <si>
    <t>The NE Atlantic Region: A Reappraisal of Crustal Structure, Tectonostratigraphy and Magmatic Evolution</t>
  </si>
  <si>
    <t>978-1-78620-278-9</t>
  </si>
  <si>
    <t>SP446</t>
  </si>
  <si>
    <t>Monogenetic Volcanism</t>
  </si>
  <si>
    <t>978-1-78620-276-5</t>
  </si>
  <si>
    <t>SP445</t>
  </si>
  <si>
    <t>Tectonics of the Deccan Large Igneous Province</t>
  </si>
  <si>
    <t>978-1-78620-275-8</t>
  </si>
  <si>
    <t>SP444</t>
  </si>
  <si>
    <t>Sedimentology of Paralic Reservoirs: Recent Advances</t>
  </si>
  <si>
    <t>978-1-78620-274-1</t>
  </si>
  <si>
    <t>SP443</t>
  </si>
  <si>
    <t>Radioactive Waste Confinement: Clays in Natural and Engineered Barriers</t>
  </si>
  <si>
    <t>978-1-78620-273-4</t>
  </si>
  <si>
    <t>SP442</t>
  </si>
  <si>
    <t>History of Geoscience: Celebrating 50 Years of INHIGEO</t>
  </si>
  <si>
    <t>978-1-78620-269-7</t>
  </si>
  <si>
    <t>SP441</t>
  </si>
  <si>
    <t>Geohazards in Indonesia: Earth Science for Disaster Risk Reduction</t>
  </si>
  <si>
    <t>978-1-86239-966-2</t>
  </si>
  <si>
    <t>SP439</t>
  </si>
  <si>
    <t>The Geometry and Growth of Normal Faults</t>
  </si>
  <si>
    <t>978-1-86239-967-9</t>
  </si>
  <si>
    <t>SP438</t>
  </si>
  <si>
    <t>Petroleum Geoscience of the West Africa Margin</t>
  </si>
  <si>
    <t>978-1-78620-243-7</t>
  </si>
  <si>
    <t>SP437</t>
  </si>
  <si>
    <t>Geochemistry and Geophysics of Active Volcanic Lakes</t>
  </si>
  <si>
    <t>978-1-78620-244-4</t>
  </si>
  <si>
    <t>SP433</t>
  </si>
  <si>
    <t>Quaternary Glaciation in the Mediterranean Mountains</t>
  </si>
  <si>
    <t>978-1-86239-747-7</t>
  </si>
  <si>
    <t>SP432</t>
  </si>
  <si>
    <t>Seismicity, Fault Rupture and Earthquake Hazards in Slowly Deforming Regions</t>
  </si>
  <si>
    <t>978-1-86239-745-3</t>
  </si>
  <si>
    <t>SP428</t>
  </si>
  <si>
    <t>Tectonic Evolution of the Eastern Black Sea and Caucasus</t>
  </si>
  <si>
    <t>978-1-86239-739-2</t>
  </si>
  <si>
    <t>SP427</t>
  </si>
  <si>
    <t>Geological Evolution of Central Asian Basins and the Western Tien Shan Range</t>
  </si>
  <si>
    <t>978-1-86239-738-5</t>
  </si>
  <si>
    <t>SP408</t>
  </si>
  <si>
    <t>Integrated Environmental Modelling to solve real world problems: methods, vision, and challenges</t>
  </si>
  <si>
    <t>978-1-86239-687-6</t>
  </si>
  <si>
    <t>M0048</t>
  </si>
  <si>
    <t>Myanmar: Geology, Resources and Tectonics</t>
  </si>
  <si>
    <t>978-1-86239-969-3</t>
  </si>
  <si>
    <t>M0047</t>
  </si>
  <si>
    <t xml:space="preserve">The Andaman–Nicobar Accretionary Ridge: Geology, Tectonics and Hazards </t>
  </si>
  <si>
    <t>978-1-78620-281-9</t>
  </si>
  <si>
    <t>SR027</t>
  </si>
  <si>
    <t>A Revised Correlation of Tertiary Rocks in the British Isles and adjacent areas of NW Europe</t>
  </si>
  <si>
    <t>978-1-86239-728-6</t>
  </si>
  <si>
    <t>GOJAPP</t>
  </si>
  <si>
    <t>Geology of Japan (paperback)</t>
  </si>
  <si>
    <t>978-1-86239-743-9</t>
  </si>
  <si>
    <t>GOJAPH</t>
  </si>
  <si>
    <t>Geology of Japan (hardback)</t>
  </si>
  <si>
    <t>978-1-86239-742-2</t>
  </si>
  <si>
    <t>SPE27</t>
  </si>
  <si>
    <t>Developments in Engineering Geology</t>
  </si>
  <si>
    <t>978-1-86239-968-6</t>
  </si>
  <si>
    <t>SP436</t>
  </si>
  <si>
    <t xml:space="preserve">The Value of Outcrop Studies in Reducing Subsurface Uncertainty and Risk in Hydrocarbon Exploration and Production </t>
  </si>
  <si>
    <t>978-1-78620-140-9</t>
  </si>
  <si>
    <t>SP434</t>
  </si>
  <si>
    <t>Mesozoic Biotas of Scandinavia and its Arctic Territories</t>
  </si>
  <si>
    <t>978-1-86239-748-4</t>
  </si>
  <si>
    <t>SP431</t>
  </si>
  <si>
    <t>Transform Margins: Development, Controls and Petroleum Systems</t>
  </si>
  <si>
    <t>978-1-86239-744-6</t>
  </si>
  <si>
    <t>SP430</t>
  </si>
  <si>
    <t>Arthur Smith Woodward: His Life and Influence on Modern Vertebrate Palaeontology</t>
  </si>
  <si>
    <t>978-1-86239-741-5</t>
  </si>
  <si>
    <t>SP429</t>
  </si>
  <si>
    <t>River-Dominated Shelf Sediments of East Asian Seas</t>
  </si>
  <si>
    <t>978-1-86239-740-8</t>
  </si>
  <si>
    <t>SP426</t>
  </si>
  <si>
    <t>Detecting, Modelling and Responding to Effusive Eruptions</t>
  </si>
  <si>
    <t>978-1-86239-736-1</t>
  </si>
  <si>
    <t>SP425</t>
  </si>
  <si>
    <t>Palaeomagnetism in Fold and Thrust Belts: New Perspectives</t>
  </si>
  <si>
    <t>978-1-86239-737-8</t>
  </si>
  <si>
    <t>SP424</t>
  </si>
  <si>
    <t>Supercontinent Cycles Through Earth History</t>
  </si>
  <si>
    <t>978-1-86239-733-0</t>
  </si>
  <si>
    <t>SP423</t>
  </si>
  <si>
    <t>Devonian Climate, Sea Level and Evolutionary Events</t>
  </si>
  <si>
    <t>978-1-86239-734-7</t>
  </si>
  <si>
    <t>SP420</t>
  </si>
  <si>
    <t>Magmatic Rifting and Active Volcanism</t>
  </si>
  <si>
    <t>978-1-86239-729-3</t>
  </si>
  <si>
    <t>SP417</t>
  </si>
  <si>
    <t>Appreciating Physical Landscapes: Three Hundred Years of Geotourism</t>
  </si>
  <si>
    <t>978-1-86239-724-8</t>
  </si>
  <si>
    <t>SP416</t>
  </si>
  <si>
    <t>Sustainable Use of Traditional Geomaterials in Construction Practice</t>
  </si>
  <si>
    <t>978-1-86239-725-5</t>
  </si>
  <si>
    <t>SP411</t>
  </si>
  <si>
    <t>Geology and Archaeology: Submerged Landscapes of the Continental Shelf</t>
  </si>
  <si>
    <t>978-1-86239-691-3</t>
  </si>
  <si>
    <t>M0046</t>
  </si>
  <si>
    <t>Atlas of Submarine Glacial Landforms: Modern, Quaternary and Ancient</t>
  </si>
  <si>
    <t>978-1-78620-268-0</t>
  </si>
  <si>
    <t>SP422</t>
  </si>
  <si>
    <t>Chemical, Physical and Temporal Evolution of Magmatic Systems</t>
  </si>
  <si>
    <t>978-1-86239-732-3</t>
  </si>
  <si>
    <t>SP421</t>
  </si>
  <si>
    <t>Industrial Structural Geology: Principles, Techniques and Integration</t>
  </si>
  <si>
    <t>978-1-86239-730-9</t>
  </si>
  <si>
    <t>SP419</t>
  </si>
  <si>
    <t>Geoethics: the Role and Responsibility of Geoscientists</t>
  </si>
  <si>
    <t>978-1-86239-726-2</t>
  </si>
  <si>
    <t>SP418</t>
  </si>
  <si>
    <t>Microbial Carbonates in Space and Time: Implications for Global Exploration and Production</t>
  </si>
  <si>
    <t>978-1-86239-727-9</t>
  </si>
  <si>
    <t>SP415</t>
  </si>
  <si>
    <t>Gas Generation and Migration in Deep Geological Radioactive Waste Repositories</t>
  </si>
  <si>
    <t>978-1-86239-722-4</t>
  </si>
  <si>
    <t>SP414</t>
  </si>
  <si>
    <t>Magnetic Susceptibility Application</t>
  </si>
  <si>
    <t>978-1-86239-721-7</t>
  </si>
  <si>
    <t>SP413</t>
  </si>
  <si>
    <t>Sedimentary Basins and Crustal Processes at Continental Margins</t>
  </si>
  <si>
    <t>978-1-86239-720-0</t>
  </si>
  <si>
    <t>SP412</t>
  </si>
  <si>
    <t>Tectonics of the Himalaya</t>
  </si>
  <si>
    <t>978-186239-703-3</t>
  </si>
  <si>
    <t>SP410</t>
  </si>
  <si>
    <t>The Role of Volatiles in the Genesis, Evolution and Eruption of Arc Magmas</t>
  </si>
  <si>
    <t>978-1-86239-689-0</t>
  </si>
  <si>
    <t>SP409</t>
  </si>
  <si>
    <t>Rock Deformation from Field, Experiments and Theory</t>
  </si>
  <si>
    <t>978-1-86239-688-3</t>
  </si>
  <si>
    <t>SP407</t>
  </si>
  <si>
    <t>Global Heritage Stone: Towards International Recognition of Building and Ornamental Stones</t>
  </si>
  <si>
    <t>978-1-86239-685-2</t>
  </si>
  <si>
    <t>SP406</t>
  </si>
  <si>
    <t>Fundamental Controls on Fluid Flow in Carbonates: Current Workflows to Emerging Technologies</t>
  </si>
  <si>
    <t>978-1-86239-659-3</t>
  </si>
  <si>
    <t>SP404</t>
  </si>
  <si>
    <t>Strata and Time: Probing the Gaps in Our Understanding</t>
  </si>
  <si>
    <t>978-1-86239-655-5</t>
  </si>
  <si>
    <t>SP403</t>
  </si>
  <si>
    <t>Tertiary Deep-Marine Reservoirs of the North Sea Region</t>
  </si>
  <si>
    <t>978-1-86239-656-2</t>
  </si>
  <si>
    <t>SP401</t>
  </si>
  <si>
    <t>Volcanism and Tectonism Across the Inner Solar System</t>
  </si>
  <si>
    <t>978-1-86239-632-6</t>
  </si>
  <si>
    <t>SP399</t>
  </si>
  <si>
    <t>Geodynamic Processes in the Andes of Central Chile and Argentina</t>
  </si>
  <si>
    <t>978-1-86239-653-1</t>
  </si>
  <si>
    <t>301-400</t>
  </si>
  <si>
    <t>SP396</t>
  </si>
  <si>
    <t>The Use of Palaeomagnetism and Rock Magnetism to Understand Volcanic Processes</t>
  </si>
  <si>
    <t>978-1-86239-629-6</t>
  </si>
  <si>
    <t>SP393</t>
  </si>
  <si>
    <t xml:space="preserve">Ore Deposits in an Evolving Earth </t>
  </si>
  <si>
    <t>978-1-86239-626-5</t>
  </si>
  <si>
    <t>SP389</t>
  </si>
  <si>
    <t>Continent Formation Through Time</t>
  </si>
  <si>
    <t>978-1-86239-375-2</t>
  </si>
  <si>
    <t>M0045</t>
  </si>
  <si>
    <t>Petroleum Geology of Myanmar</t>
  </si>
  <si>
    <t>978-1-86239-735-4</t>
  </si>
  <si>
    <t>M0044</t>
  </si>
  <si>
    <t>Volcanic Geology of São Miguel Island (Azores Archipelago)</t>
  </si>
  <si>
    <t>978-1-86239-731-6</t>
  </si>
  <si>
    <t>M0043</t>
  </si>
  <si>
    <t>Precambrian Basins of India: Stratigraphic and Tectonic Context</t>
  </si>
  <si>
    <t>978-1-86239-723-1</t>
  </si>
  <si>
    <t>SP405</t>
  </si>
  <si>
    <t>Variscan Orogeny, The: Extent, Timescale and the Formation of the European Crust</t>
  </si>
  <si>
    <t>978-1-86239-658-6</t>
  </si>
  <si>
    <t>SP402</t>
  </si>
  <si>
    <t>Gold-Transporting Hydrothermal Fluids in the Earth's Crust</t>
  </si>
  <si>
    <t>978-1-86239-657-9</t>
  </si>
  <si>
    <t>SP400</t>
  </si>
  <si>
    <t>Clays in Natural and Engineered Barriers for Radioactive Waste Confinement</t>
  </si>
  <si>
    <t>978-1-86239-654-8</t>
  </si>
  <si>
    <t>SP398</t>
  </si>
  <si>
    <t>Marine Tephrochronology</t>
  </si>
  <si>
    <t>978-1-86239-641-8</t>
  </si>
  <si>
    <t>SP397</t>
  </si>
  <si>
    <t>Hydrocarbon Exploration to Exploitation West of Shetlands</t>
  </si>
  <si>
    <t>978-1-86239-652-4</t>
  </si>
  <si>
    <t>SP395</t>
  </si>
  <si>
    <t>A Stratigraphical Basis for the Anthropocene</t>
  </si>
  <si>
    <t>978-1-86239-628-9</t>
  </si>
  <si>
    <t>SP394</t>
  </si>
  <si>
    <t>Deformation Structures and Processes within the Continental Crust</t>
  </si>
  <si>
    <t>978-1-86239-627-2</t>
  </si>
  <si>
    <t>SP392</t>
  </si>
  <si>
    <t>Tectonic Evolution of the Oman Mountains</t>
  </si>
  <si>
    <t>978-1-86239-378-3</t>
  </si>
  <si>
    <t>SP391</t>
  </si>
  <si>
    <t>Stone in Historic Buildings: Characterization and Performance</t>
  </si>
  <si>
    <t>978-1-86239-376-9</t>
  </si>
  <si>
    <t>SP390</t>
  </si>
  <si>
    <t>New Perspectives on the Caledonides of Scandinavia and Related Areas</t>
  </si>
  <si>
    <t>978-1-86239-377-6</t>
  </si>
  <si>
    <t>SP388</t>
  </si>
  <si>
    <t>Sedimentary Coastal Zones from High to Low Latitudes: Similarities and Differences</t>
  </si>
  <si>
    <t>978-1-86239-374-5</t>
  </si>
  <si>
    <t>SP387</t>
  </si>
  <si>
    <t>Sediment-Body Geometry and Heterogeneity</t>
  </si>
  <si>
    <t>978-1-86239-372-1</t>
  </si>
  <si>
    <t>SP386</t>
  </si>
  <si>
    <t>Sediment Provenance Studies in Hydrocarbon Exploration and Production</t>
  </si>
  <si>
    <t>978-1-86239-370-7</t>
  </si>
  <si>
    <t>SP385</t>
  </si>
  <si>
    <t>Orogenic Andesites and Crustal Growth</t>
  </si>
  <si>
    <t>978-1-86239-369-1</t>
  </si>
  <si>
    <t>SP378</t>
  </si>
  <si>
    <r>
      <t xml:space="preserve">Advances in </t>
    </r>
    <r>
      <rPr>
        <vertAlign val="superscript"/>
        <sz val="8"/>
        <rFont val="Arial"/>
        <family val="2"/>
      </rPr>
      <t>40</t>
    </r>
    <r>
      <rPr>
        <sz val="8"/>
        <rFont val="Arial"/>
        <family val="2"/>
      </rPr>
      <t>Ar/</t>
    </r>
    <r>
      <rPr>
        <vertAlign val="superscript"/>
        <sz val="8"/>
        <rFont val="Arial"/>
        <family val="2"/>
      </rPr>
      <t>39</t>
    </r>
    <r>
      <rPr>
        <sz val="8"/>
        <rFont val="Arial"/>
        <family val="2"/>
      </rPr>
      <t xml:space="preserve">Ar Dating: From Archaeology to Planetary Sciences   </t>
    </r>
  </si>
  <si>
    <t>978-1-86239-360-8</t>
  </si>
  <si>
    <t>SP374</t>
  </si>
  <si>
    <t>Advances in the Study of Fractured Reservoirs</t>
  </si>
  <si>
    <t>978-1-86239-355-4</t>
  </si>
  <si>
    <t>M0042</t>
  </si>
  <si>
    <t>Cambrian of SW Wales, The: Towards a United Avalonian Stratigraphy</t>
  </si>
  <si>
    <t>978-1-86239-690-6</t>
  </si>
  <si>
    <t>M0041</t>
  </si>
  <si>
    <t>Continental Shelves of the World</t>
  </si>
  <si>
    <t>978-1-86239-686-9</t>
  </si>
  <si>
    <t>M0040</t>
  </si>
  <si>
    <t>Rock Coast Geomorphology: A Global Synthesis</t>
  </si>
  <si>
    <t>978-1-86239-684-5</t>
  </si>
  <si>
    <t>M0039</t>
  </si>
  <si>
    <t>The Eruption of Soufriere Hills Volcano, Montserrat, from 2000 to 2010</t>
  </si>
  <si>
    <t>978-1-86239-630-2</t>
  </si>
  <si>
    <t>TMS006</t>
  </si>
  <si>
    <t>Landmarks in Foraminiferal Micropalaeontology: History and Development</t>
  </si>
  <si>
    <t>978-1-86239-371-4</t>
  </si>
  <si>
    <t>TMS005</t>
  </si>
  <si>
    <t>Biological and Geological Perspectives of Dinoflagellates</t>
  </si>
  <si>
    <t>978-1-86239-368-4</t>
  </si>
  <si>
    <t>RFM3C</t>
  </si>
  <si>
    <t>Rock-Forming Minerals</t>
  </si>
  <si>
    <t>Clay Minerals - Volume 3C</t>
  </si>
  <si>
    <t>978-1-86239-359-2</t>
  </si>
  <si>
    <t>SP384</t>
  </si>
  <si>
    <t>Environmental and Criminal Geoforensics</t>
  </si>
  <si>
    <t>978-1-86239-366-0</t>
  </si>
  <si>
    <t>SP383</t>
  </si>
  <si>
    <t>Antarctica and Supercontinent Evolution</t>
  </si>
  <si>
    <t>978-1-86239-367-7</t>
  </si>
  <si>
    <t>SP382</t>
  </si>
  <si>
    <t>Isotopic Studies in Cretaceous Research</t>
  </si>
  <si>
    <t>978-1-86239-364-6</t>
  </si>
  <si>
    <t>SP381</t>
  </si>
  <si>
    <t>Antarctic Palaeoenvironments and Earth-Surface Processes</t>
  </si>
  <si>
    <t>978-1-86239-363-9</t>
  </si>
  <si>
    <t>SP380</t>
  </si>
  <si>
    <t>Remote Sensing of Volcanoes and Volcanic Processes: Integrating Observation and Modelling</t>
  </si>
  <si>
    <t>978-1-86239-362-2</t>
  </si>
  <si>
    <t>SP379</t>
  </si>
  <si>
    <t>Anatomy, Phylogeny and Palaeobiology of Early Archosaurs and their Kin</t>
  </si>
  <si>
    <t>978-1-86239-361-5</t>
  </si>
  <si>
    <t>SP377</t>
  </si>
  <si>
    <t>Thick-Skin-Dominated Orogens: From Initial Inversion to Full Accretion</t>
  </si>
  <si>
    <t>978-1-86239-358-5</t>
  </si>
  <si>
    <t>SP376</t>
  </si>
  <si>
    <t>Palaeozoic Climate Cycles: Their Evolutionary and Sedimentological Impact</t>
  </si>
  <si>
    <t>978-1-86239-357-8</t>
  </si>
  <si>
    <t>SP375</t>
  </si>
  <si>
    <t>A History of Geology and Medicine</t>
  </si>
  <si>
    <t>978-1-86239-356-1</t>
  </si>
  <si>
    <t>SP373</t>
  </si>
  <si>
    <t>Magnetic Methods and the Timing of Geological Processes</t>
  </si>
  <si>
    <t>978-1-86239-354-7</t>
  </si>
  <si>
    <t>SP372</t>
  </si>
  <si>
    <t>Geological Development of Anatolia and the Easternmost Mediterranean Region</t>
  </si>
  <si>
    <t>978-1-86239-353-0</t>
  </si>
  <si>
    <t>SP369</t>
  </si>
  <si>
    <t>Conjugate Divergent Margins</t>
  </si>
  <si>
    <t>978-1-86239-349-3</t>
  </si>
  <si>
    <t>M0038</t>
  </si>
  <si>
    <t>Early Palaeozoic Biogeography and Palaeogeography</t>
  </si>
  <si>
    <t>978-1-86239-373-8</t>
  </si>
  <si>
    <t>M0037</t>
  </si>
  <si>
    <t>The Aeolian Islands Volcanoes</t>
  </si>
  <si>
    <t>978-1-86239-365-3</t>
  </si>
  <si>
    <t>MPSDM</t>
  </si>
  <si>
    <r>
      <t>Sustainable Development and Management of the Shallow Subsurface</t>
    </r>
    <r>
      <rPr>
        <b/>
        <sz val="8"/>
        <rFont val="Arial"/>
        <family val="2"/>
      </rPr>
      <t xml:space="preserve"> (print price reduced 2023 due to remaining stock cover imperfections)</t>
    </r>
  </si>
  <si>
    <t>978-1-86239-343-1</t>
  </si>
  <si>
    <t>SPE26</t>
  </si>
  <si>
    <t>Earthworks in Europe</t>
  </si>
  <si>
    <t>978-1-86239-352-3</t>
  </si>
  <si>
    <t>SPE25</t>
  </si>
  <si>
    <t>Hot Deserts: Engineering, Geology and Geomorphology — Engineering Group Working Party Report</t>
  </si>
  <si>
    <t>978-1-86239-342-4</t>
  </si>
  <si>
    <t>SP371</t>
  </si>
  <si>
    <t xml:space="preserve">Remagnetization and Chemical Alteration of Sedimentary Rocks </t>
  </si>
  <si>
    <t>978-1-86239-351-6</t>
  </si>
  <si>
    <t>SP370</t>
  </si>
  <si>
    <t>Advances in Carbonate Exploration and Reservoir Analysis</t>
  </si>
  <si>
    <t>978-1-86239-350-9</t>
  </si>
  <si>
    <t>SP368</t>
  </si>
  <si>
    <t>Glaciogenic Reservoirs and Hydrocarbon Systems</t>
  </si>
  <si>
    <t>978-1-86239-348-6</t>
  </si>
  <si>
    <t>SP367</t>
  </si>
  <si>
    <t>Faulting, Fracturing and Igneous Intrusion in the Earth's Crust</t>
  </si>
  <si>
    <t>978-1-86239-347-9</t>
  </si>
  <si>
    <t>SP366</t>
  </si>
  <si>
    <t>Geology and Hydrocarbon Potential of Neoproterozoic-Cambrian Basins in Asia</t>
  </si>
  <si>
    <t>978-1-86239-346-2</t>
  </si>
  <si>
    <t>SP365</t>
  </si>
  <si>
    <t>Palaeoproterozoic of India</t>
  </si>
  <si>
    <t>978-1-86239-345-5</t>
  </si>
  <si>
    <t>SP364</t>
  </si>
  <si>
    <t>Groundwater Resources Modelling: A Case Study from the UK</t>
  </si>
  <si>
    <t>978-1-86239-344-8</t>
  </si>
  <si>
    <t>SP363</t>
  </si>
  <si>
    <t>Salt Tectonics, Sediments and Prospectivity</t>
  </si>
  <si>
    <t>978-1-86239-341-7</t>
  </si>
  <si>
    <t>SP362</t>
  </si>
  <si>
    <t>Military Aspects of Hydrogeology</t>
  </si>
  <si>
    <t>978-1-86239-340-0</t>
  </si>
  <si>
    <t>SP361</t>
  </si>
  <si>
    <t>Natural Hazards in the Asia–Pacific Region: Recent Advances and Emerging Concepts</t>
  </si>
  <si>
    <t>978-1-86239-339-4</t>
  </si>
  <si>
    <t>SR026</t>
  </si>
  <si>
    <t>A Revised Correlation of Carboniferous Rocks in the British Isles</t>
  </si>
  <si>
    <t>978-1-86239-333-2</t>
  </si>
  <si>
    <t>SR025</t>
  </si>
  <si>
    <t xml:space="preserve">A Revised Correlation of the Cambrian Rocks in the British Isles </t>
  </si>
  <si>
    <t>978-1-86239-332-5</t>
  </si>
  <si>
    <t>RFM5A</t>
  </si>
  <si>
    <t>Non-Silicates: Oxides, Hydroxides and Sulphides - Volume 5A</t>
  </si>
  <si>
    <t>978-1-86239-315-8</t>
  </si>
  <si>
    <t>GOTHP</t>
  </si>
  <si>
    <t>Geology of Thailand (paperback)</t>
  </si>
  <si>
    <t>978-1-86239-319-6</t>
  </si>
  <si>
    <t>GOTHH</t>
  </si>
  <si>
    <t>Geology of Thailand (hardback)</t>
  </si>
  <si>
    <t>978-1-86239-322-6</t>
  </si>
  <si>
    <t>SPE24</t>
  </si>
  <si>
    <t>Slope Engineering for Mountain Roads</t>
  </si>
  <si>
    <t>978-1-86239-331-8</t>
  </si>
  <si>
    <t>SP360</t>
  </si>
  <si>
    <t>Deformation Mechanisms, Rheology and Tectonics: Microstructures, Mechanics and Anisotropy</t>
  </si>
  <si>
    <t>978-1-86239-338-7</t>
  </si>
  <si>
    <t>SP359</t>
  </si>
  <si>
    <t>Geology of the Earthquake Source: A Volume in Honour of Rick Sibson</t>
  </si>
  <si>
    <t>978-1-86239-337-0</t>
  </si>
  <si>
    <t>SP358</t>
  </si>
  <si>
    <t>Comparing the Geological and Fossil Record</t>
  </si>
  <si>
    <t>978-1-86239-336-3</t>
  </si>
  <si>
    <t>SP357</t>
  </si>
  <si>
    <t xml:space="preserve">The Formation and Evolution of Africa: A Synopsis of 3.8 Ga of Earth History </t>
  </si>
  <si>
    <t>978-1-86239-335-6</t>
  </si>
  <si>
    <t>SP356</t>
  </si>
  <si>
    <t>Martian Geomorphology</t>
  </si>
  <si>
    <t>978-1-86239-330-1</t>
  </si>
  <si>
    <t>SP355</t>
  </si>
  <si>
    <t>The SE Asian Gateway: History and Tectonics of the Australia-Asia Collision</t>
  </si>
  <si>
    <t>978-1-86239-329-5</t>
  </si>
  <si>
    <t>SP354</t>
  </si>
  <si>
    <t>Ice-Marginal and Periglacial Processes and Sediments</t>
  </si>
  <si>
    <t>978-1-86239-327-1</t>
  </si>
  <si>
    <t>SP353</t>
  </si>
  <si>
    <t>Growth and Collapse of the Tibetan Plateau</t>
  </si>
  <si>
    <t>978-1-86239-326-4</t>
  </si>
  <si>
    <t>SP352</t>
  </si>
  <si>
    <t xml:space="preserve">Human Interaction with the Geosphere: The Geoarchaeological Perspective </t>
  </si>
  <si>
    <t>978-1-86239-325-7</t>
  </si>
  <si>
    <t>SP351</t>
  </si>
  <si>
    <t>Slope Tectonics</t>
  </si>
  <si>
    <t>978-1-86239-324-0</t>
  </si>
  <si>
    <t>SP350</t>
  </si>
  <si>
    <t>Granite-Related Ore Deposits</t>
  </si>
  <si>
    <t>978-1-86239-321-9</t>
  </si>
  <si>
    <t>SP349</t>
  </si>
  <si>
    <t>Kinematic Evolution and Structural Styles of Fold-and-Thrust Belts</t>
  </si>
  <si>
    <t>978-1-86239-320-2</t>
  </si>
  <si>
    <t>M0036</t>
  </si>
  <si>
    <t>The Geological Record of Neoproterozoic Glaciations</t>
  </si>
  <si>
    <t>978-1-86239-334-9</t>
  </si>
  <si>
    <t>M0035</t>
  </si>
  <si>
    <t>Arctic Petroleum Geology</t>
  </si>
  <si>
    <t>978-1-86239-328-8</t>
  </si>
  <si>
    <t>M0034</t>
  </si>
  <si>
    <t>The Life and Work of Professor JW Gregory FRS (1864-1932)</t>
  </si>
  <si>
    <t>978-1-86239-323-3</t>
  </si>
  <si>
    <t>TMS004</t>
  </si>
  <si>
    <t>Micropalaeontology, Sedimentary Environments and Stratigraphy: A Tribute to Dennis Curry (1912-2002)</t>
  </si>
  <si>
    <t>978-1-86239-305-9</t>
  </si>
  <si>
    <t>IAV003</t>
  </si>
  <si>
    <t>Published on behalf of IAVCEI</t>
  </si>
  <si>
    <t>The Colli Albani Volcano</t>
  </si>
  <si>
    <t>978-1-86239-307-3</t>
  </si>
  <si>
    <t>SPE23</t>
  </si>
  <si>
    <t>Weathering as Predisposing Factor to Slope Movements</t>
  </si>
  <si>
    <t>978-1-86239-297-7</t>
  </si>
  <si>
    <t>SP348</t>
  </si>
  <si>
    <t>Hydrocarbons in Contractional Belts</t>
  </si>
  <si>
    <t>978-1-86239-317-2</t>
  </si>
  <si>
    <t>SP347</t>
  </si>
  <si>
    <t>Reservoir Compartmentalisation</t>
  </si>
  <si>
    <t>978-1-86239-316-5</t>
  </si>
  <si>
    <t>SP346</t>
  </si>
  <si>
    <t>Australian Landscapes</t>
  </si>
  <si>
    <t>978-1-86239-314-1</t>
  </si>
  <si>
    <t>SP345</t>
  </si>
  <si>
    <t>Elevation Models for Geoscience</t>
  </si>
  <si>
    <t>978-1-86239-313-4</t>
  </si>
  <si>
    <t>SP344</t>
  </si>
  <si>
    <t>Fjord Systems and Archives</t>
  </si>
  <si>
    <t>978-1-86239-312-7</t>
  </si>
  <si>
    <t>SP343</t>
  </si>
  <si>
    <t>Dinosaurs and Other Extinct Saurians: A Historical Perspective</t>
  </si>
  <si>
    <t>978-1-86239-311-0</t>
  </si>
  <si>
    <t>SP342</t>
  </si>
  <si>
    <t>Monsoon Evolution and Tectonic-Climate Linkage in Asia</t>
  </si>
  <si>
    <t>978-1-86239-310-3</t>
  </si>
  <si>
    <t>SP341</t>
  </si>
  <si>
    <t>Evolution of the Levant Margin and Western Arabia Platform since the Mesozoic</t>
  </si>
  <si>
    <t>978-1-86239-306-6</t>
  </si>
  <si>
    <t>SP340</t>
  </si>
  <si>
    <t>Sedimentary Basin Tectonics from the Black Sea and Caucasus to the Arabian Platform</t>
  </si>
  <si>
    <t>978-1-86239-308-0</t>
  </si>
  <si>
    <t>SP339</t>
  </si>
  <si>
    <t>The Terrestrialization Process: Modelling Complex Interactions at the Biosphere-Geosphere Interface</t>
  </si>
  <si>
    <t>978-1-86239-309-7</t>
  </si>
  <si>
    <t>SP338</t>
  </si>
  <si>
    <t>The Evolving Continents: Understanding Processes of Continental Growth</t>
  </si>
  <si>
    <t>978-1-86239-303-5</t>
  </si>
  <si>
    <t>SP337</t>
  </si>
  <si>
    <t>Petrological Evolution of the European Lithospheric Mantle: From Archaean to Present Day</t>
  </si>
  <si>
    <t>978-1-86239-304-2</t>
  </si>
  <si>
    <t>SP336</t>
  </si>
  <si>
    <t>Tufas and Speleothems: Unravelling the Microbial and Physical Controls</t>
  </si>
  <si>
    <t>978-1-86239-301-1</t>
  </si>
  <si>
    <t>SP335</t>
  </si>
  <si>
    <t>Continental Tectonics and Mountain Building: The Legacy of Peach &amp; Horne</t>
  </si>
  <si>
    <t>978-1-86239-300-4</t>
  </si>
  <si>
    <t>SP334</t>
  </si>
  <si>
    <t>Triassic Timescale</t>
  </si>
  <si>
    <t>978-1-86239-296-0</t>
  </si>
  <si>
    <t>SP333</t>
  </si>
  <si>
    <t>Natural Stone Resources for Historical Monuments</t>
  </si>
  <si>
    <t>978-1-86239-291-5</t>
  </si>
  <si>
    <t>SP332</t>
  </si>
  <si>
    <t>Advances in Interpretation of Geological Processes: Refinement of Multi-scale Data and Integration in Numerical Modelling</t>
  </si>
  <si>
    <t>978-1-86239-295-3</t>
  </si>
  <si>
    <t>SP331</t>
  </si>
  <si>
    <t>Limestone in the Built Environment: Present-Day Challenges for Preservation of the Past</t>
  </si>
  <si>
    <t>978-1-86239-294-6</t>
  </si>
  <si>
    <t>SP330</t>
  </si>
  <si>
    <t>Tectonic and Stratigraphic Evolution of Zagros and Makran during the Mesozoic-Cenozoic</t>
  </si>
  <si>
    <t>978-1-86239-293-9</t>
  </si>
  <si>
    <t>SP329</t>
  </si>
  <si>
    <t>Mesozoic and Cenozoic Carbonate Systems of the Mediterranean and the Middle East: Stratigraphic and diagenetic reference models</t>
  </si>
  <si>
    <t>978-1-86239-292-2</t>
  </si>
  <si>
    <t>PGC7</t>
  </si>
  <si>
    <t>Petroleum Geology: From Mature Basins to New Frontiers - Proceedings of the 7th Petroleum Geology Conference (book) (Published on behalf of Petroleum Geology Conferences Ltd)</t>
  </si>
  <si>
    <t>978-1-86239-298-4</t>
  </si>
  <si>
    <t>TMS003</t>
  </si>
  <si>
    <t xml:space="preserve">Ostracods in British Stratigraphy </t>
  </si>
  <si>
    <t>978-1-86239-274-8</t>
  </si>
  <si>
    <t>RFM3B</t>
  </si>
  <si>
    <t>Layered Silicates Excluding Micas and Clay Minerals - Volume 3B</t>
  </si>
  <si>
    <t>1-86239-259-5</t>
  </si>
  <si>
    <t>978-1-86239-259-5</t>
  </si>
  <si>
    <t>IAV002</t>
  </si>
  <si>
    <t>Studies in Volcanology: the Legacy of George Walker</t>
  </si>
  <si>
    <t>978-1-86239-280-9</t>
  </si>
  <si>
    <t>SPE22</t>
  </si>
  <si>
    <t>Engineering Geology for Tomorrow's Cities</t>
  </si>
  <si>
    <t>978-1-86239-290-8</t>
  </si>
  <si>
    <t>SP328</t>
  </si>
  <si>
    <t>Origin and Evolution of the Caribbean Plate</t>
  </si>
  <si>
    <t>978-1-86239-288-5</t>
  </si>
  <si>
    <t>SP327</t>
  </si>
  <si>
    <t>Ancient Orogens and Modern Analogues</t>
  </si>
  <si>
    <t>978-1-86239-289-2</t>
  </si>
  <si>
    <t>SP326</t>
  </si>
  <si>
    <t>Global Neoproterozoic Hydrocarbon Systems: The Emerging Potential in North Africa</t>
  </si>
  <si>
    <t>978-1-86239-287-8</t>
  </si>
  <si>
    <t>SP325</t>
  </si>
  <si>
    <t>Early Palaeozoic Peri-Gondwanan Terranes</t>
  </si>
  <si>
    <t>978-1-86239-286-1</t>
  </si>
  <si>
    <t>SP324</t>
  </si>
  <si>
    <t>Thermochronological Methods: From Palaeotemperature Constraints to Landscape Evolution Models</t>
  </si>
  <si>
    <t>978-1-86239-285-4</t>
  </si>
  <si>
    <t>SP323</t>
  </si>
  <si>
    <t>Palaeoproterozoic Supercontinents and Global Evolution</t>
  </si>
  <si>
    <t>978-1-86239-283-0</t>
  </si>
  <si>
    <t>SP322</t>
  </si>
  <si>
    <t xml:space="preserve">Geohazard in Rocky Coastal Areas </t>
  </si>
  <si>
    <t>978-1-86239-282-3</t>
  </si>
  <si>
    <t>SP321</t>
  </si>
  <si>
    <t xml:space="preserve">Extending a Continent: Architecture, Rheology and Heat Budget </t>
  </si>
  <si>
    <t>978-1-86239-284-7</t>
  </si>
  <si>
    <t>SP320</t>
  </si>
  <si>
    <t xml:space="preserve">Periglacial and Paraglacial Processes and Environments </t>
  </si>
  <si>
    <t>978-1-86239-281-6</t>
  </si>
  <si>
    <t>SP319</t>
  </si>
  <si>
    <t>Sediment-Hosted Gas Hydrates: New Insights on Natural and Synthetic Systems</t>
  </si>
  <si>
    <t>978-1-86239-279-3</t>
  </si>
  <si>
    <t>SP318</t>
  </si>
  <si>
    <t>Earth Accretionary Systems in Space and Time</t>
  </si>
  <si>
    <t>978-1-86239-278-6</t>
  </si>
  <si>
    <t>SP317</t>
  </si>
  <si>
    <t>The Making of the Geological Society of London</t>
  </si>
  <si>
    <t>978-1-86239-277-9</t>
  </si>
  <si>
    <t>SP316</t>
  </si>
  <si>
    <t>Palaeoseismology: Historical and prehistorical records of earthquake ground effects for seismic hazard assessment</t>
  </si>
  <si>
    <t>978-1-86239-276-2</t>
  </si>
  <si>
    <t>SP315</t>
  </si>
  <si>
    <t xml:space="preserve">Late Palaeozoic and Mesozoic Ecosystems in SE Asia </t>
  </si>
  <si>
    <t>978-1-86239-275-5</t>
  </si>
  <si>
    <t>SP314</t>
  </si>
  <si>
    <t xml:space="preserve">Devonian Change: Case Studies in Palaeogeography and Palaeoecology </t>
  </si>
  <si>
    <t>978-1-86239-273-1</t>
  </si>
  <si>
    <t>SP313</t>
  </si>
  <si>
    <t>Underground Gas Storage: Worldwide Experiences and Future Development in the UK and Europe</t>
  </si>
  <si>
    <t>978-1-86239-272-4</t>
  </si>
  <si>
    <t>SP312</t>
  </si>
  <si>
    <t>South Caspian to Central Iran Basins</t>
  </si>
  <si>
    <t>978-1-86239-271-7</t>
  </si>
  <si>
    <t>SP311</t>
  </si>
  <si>
    <t>Collision and Collapse at the Africa-Arabia-Eurasia Subduction Zone</t>
  </si>
  <si>
    <t>978-1-86239-270-0</t>
  </si>
  <si>
    <t>SP310</t>
  </si>
  <si>
    <t>Geology and Religion: Historical views of an intense relationship between harmony and hostility</t>
  </si>
  <si>
    <t>978-1-86239-269-4</t>
  </si>
  <si>
    <t>KISTR</t>
  </si>
  <si>
    <t>Key Issues in Earth Sciences</t>
  </si>
  <si>
    <t>Key Issues in Petroleum Geology: Stratigraphy (volume 3)</t>
  </si>
  <si>
    <t>978-1-86239-237-3</t>
  </si>
  <si>
    <t>HSL4</t>
  </si>
  <si>
    <t>The History of the Study of Landforms or the Development of Geomorphology Volume 4: Quaternary and Recent Processes and Forms (1890-1965) and the Mid-Century Revolutions</t>
  </si>
  <si>
    <t>978-1-86239-249-6</t>
  </si>
  <si>
    <t>CEV2P</t>
  </si>
  <si>
    <t>Geology of Central Europe: Volume 2 Mesozoic and Cenozoic (Paperback)</t>
  </si>
  <si>
    <t>1-86239-265-X</t>
  </si>
  <si>
    <t>978-1-86239-265-6</t>
  </si>
  <si>
    <t>CEV2H</t>
  </si>
  <si>
    <t>Geology of Central Europe: Volume 2 Mesozoic and Cenozoic (Hardback)</t>
  </si>
  <si>
    <t>1-86239-264-1</t>
  </si>
  <si>
    <t>978-1-86239-264-9</t>
  </si>
  <si>
    <t>CEV1P</t>
  </si>
  <si>
    <t>Geology of Central Europe: Volume 1 Precambrian and Palaeozoic (Paperback)</t>
  </si>
  <si>
    <t>1-86239-246-3</t>
  </si>
  <si>
    <t>978-1-86239-246-5</t>
  </si>
  <si>
    <t>CEV1H</t>
  </si>
  <si>
    <t>Geology of Central Europe: Volume 1 Precambrian and Palaeozoic (Hardback)</t>
  </si>
  <si>
    <t>1-86239-245-5</t>
  </si>
  <si>
    <t>978-1-86239-245-8</t>
  </si>
  <si>
    <t>SP309</t>
  </si>
  <si>
    <t>The Future of Geological Modelling in Hydrocarbon Development</t>
  </si>
  <si>
    <t>978-186239-266-3</t>
  </si>
  <si>
    <t>SP308</t>
  </si>
  <si>
    <t xml:space="preserve">Geodynamic Evolution of East Antarctica: A key to the East-West Gondwana Connection </t>
  </si>
  <si>
    <t>978-1-86239-268-7</t>
  </si>
  <si>
    <t>SP307</t>
  </si>
  <si>
    <t>Fluid Motions in Volcanic Conduits: A Source of Seismic and Acoustic Signals</t>
  </si>
  <si>
    <t>978-1-86239-262-5</t>
  </si>
  <si>
    <t>SP306</t>
  </si>
  <si>
    <t xml:space="preserve">The Nature &amp; Origin of Compression in Passive Margins    </t>
  </si>
  <si>
    <t>978-1-86239-261-8</t>
  </si>
  <si>
    <t>SP305</t>
  </si>
  <si>
    <t>Communicating Environmental Geoscience</t>
  </si>
  <si>
    <t>978-1-86239-260-1</t>
  </si>
  <si>
    <t>SP304</t>
  </si>
  <si>
    <t>Dynamics of Crustal Magma Transfer, Storage and Differentiation</t>
  </si>
  <si>
    <t>978-1-86239-258-8</t>
  </si>
  <si>
    <t>SP303</t>
  </si>
  <si>
    <t>Biogeochemical Controls on Palaeoceanographic Climate Proxies</t>
  </si>
  <si>
    <t>978-1-86239-257-1</t>
  </si>
  <si>
    <t>SP302</t>
  </si>
  <si>
    <t>Structure and Emplacement of High-Level Magmatic Systems</t>
  </si>
  <si>
    <t>978-1-86239-256-4</t>
  </si>
  <si>
    <t>SP301</t>
  </si>
  <si>
    <t>History of Geomorphology and Quaternary Geology</t>
  </si>
  <si>
    <t>978-1-86239-255-7</t>
  </si>
  <si>
    <t>SP300</t>
  </si>
  <si>
    <t>The History of Geoconservation</t>
  </si>
  <si>
    <t>978-1-86239-254-0</t>
  </si>
  <si>
    <t>201-300</t>
  </si>
  <si>
    <t>SP299</t>
  </si>
  <si>
    <t>The Internal Structure of Fault Zones</t>
  </si>
  <si>
    <t>978-1-86239-253-3</t>
  </si>
  <si>
    <t>SP298</t>
  </si>
  <si>
    <t>Tectonic Aspects of the Alpine-Dinaride-Carpathian System</t>
  </si>
  <si>
    <t>978-1-86239-252-6</t>
  </si>
  <si>
    <t>SP297</t>
  </si>
  <si>
    <t>The Boundaries of the West African Craton</t>
  </si>
  <si>
    <t>978-1-86239-251-9</t>
  </si>
  <si>
    <t>SP296</t>
  </si>
  <si>
    <t>Landscape Evolution</t>
  </si>
  <si>
    <t>978-1-86239-250-2</t>
  </si>
  <si>
    <t>SP295</t>
  </si>
  <si>
    <t>Fishes and the Break-up of Pangea</t>
  </si>
  <si>
    <t>978-1-86239-248-9</t>
  </si>
  <si>
    <t>SP294</t>
  </si>
  <si>
    <t>West Gondwana: Pre-Cenozoic correlations across the South Atlantic region</t>
  </si>
  <si>
    <t>978-1-86239-247-2</t>
  </si>
  <si>
    <t>SP293</t>
  </si>
  <si>
    <t>Metasomatism in Oceanic and Continental Lithospheric Mantle</t>
  </si>
  <si>
    <t>978-1-86239-242-7</t>
  </si>
  <si>
    <t>SP288</t>
  </si>
  <si>
    <t>Climate Change and Groundwater</t>
  </si>
  <si>
    <t>1-86239-235-8</t>
  </si>
  <si>
    <t>978-1-86239-235-9</t>
  </si>
  <si>
    <t>M0033</t>
  </si>
  <si>
    <t>The Gregory Rift Valley and Neogene-Recent Volcanoes of Northern Tanzania</t>
  </si>
  <si>
    <t>978-1-86239-267-0</t>
  </si>
  <si>
    <t>TMS002</t>
  </si>
  <si>
    <t>Deep-Time Perspectives on Climate Change: Marrying the Signal from Computer Models and Biological Proxies</t>
  </si>
  <si>
    <t>978-1-86239-240-3</t>
  </si>
  <si>
    <t>HIST</t>
  </si>
  <si>
    <t xml:space="preserve">Whatever is Under the Earth: The Geological Society of London 1807 to 2007 </t>
  </si>
  <si>
    <t>1-86239-214-5</t>
  </si>
  <si>
    <t>978-1-86239-214-4</t>
  </si>
  <si>
    <t>GOCHP</t>
  </si>
  <si>
    <t>The Geology of Chile (Paperback)</t>
  </si>
  <si>
    <t>1-86239-220-X</t>
  </si>
  <si>
    <t>978-1-86239-220-5</t>
  </si>
  <si>
    <t>GOCHH</t>
  </si>
  <si>
    <t>The Geology of Chile (Hardback)</t>
  </si>
  <si>
    <t>1-86239-219-6</t>
  </si>
  <si>
    <t>978-1-86239-219-9</t>
  </si>
  <si>
    <t>Out of print</t>
  </si>
  <si>
    <t>SP292</t>
  </si>
  <si>
    <t>Structurally Complex Reservoirs</t>
  </si>
  <si>
    <t>978-1-86239-241-0</t>
  </si>
  <si>
    <t>SP291</t>
  </si>
  <si>
    <t>The Geodynamics of the Aegean and Anatolia</t>
  </si>
  <si>
    <t>978-1-86239-239-7</t>
  </si>
  <si>
    <t>SP290</t>
  </si>
  <si>
    <t>Tectonics of Strike-Slip Restraining and Releasing Bends</t>
  </si>
  <si>
    <t>978-1-86239-238-0</t>
  </si>
  <si>
    <t>SP289</t>
  </si>
  <si>
    <t>The Relationship Between Damage and Localization</t>
  </si>
  <si>
    <t>1-86239-236-6</t>
  </si>
  <si>
    <t>978-186239-236-6</t>
  </si>
  <si>
    <t>SP287</t>
  </si>
  <si>
    <t>Four Centuries of Geological Travel</t>
  </si>
  <si>
    <t>1-86239-234-X</t>
  </si>
  <si>
    <t>978-186239-234-2</t>
  </si>
  <si>
    <t>SP286</t>
  </si>
  <si>
    <t>The Rise and Fall of the Ediacaran Biota</t>
  </si>
  <si>
    <t>1-86239-233-1</t>
  </si>
  <si>
    <t>978-1-86239-233-5</t>
  </si>
  <si>
    <t>SP285</t>
  </si>
  <si>
    <t>Evaporites Through Space and Time</t>
  </si>
  <si>
    <t>1-86239-232-3</t>
  </si>
  <si>
    <t>978-186239-232-8</t>
  </si>
  <si>
    <t>SP284</t>
  </si>
  <si>
    <t>Rock Physics and Geomechanics in the Study of Reservoir and Repositories</t>
  </si>
  <si>
    <t>1-86239-230-7</t>
  </si>
  <si>
    <t>978-186239-230-4</t>
  </si>
  <si>
    <t>SP283</t>
  </si>
  <si>
    <t>Mapping Hazardous Terrain Using Remote Sensing</t>
  </si>
  <si>
    <t>1-86239-229-3</t>
  </si>
  <si>
    <t>978-186239-229-8</t>
  </si>
  <si>
    <t>SP282</t>
  </si>
  <si>
    <t>Imaging, Mapping and Modelling Extensional Processes</t>
  </si>
  <si>
    <t>1-86239-228-5</t>
  </si>
  <si>
    <t>978-186239-228-1</t>
  </si>
  <si>
    <t>SP281</t>
  </si>
  <si>
    <t>The Role of Women in the History of Geology</t>
  </si>
  <si>
    <t>1-86239-227-7</t>
  </si>
  <si>
    <t>978-186239-227-4</t>
  </si>
  <si>
    <t>SP280</t>
  </si>
  <si>
    <t>Mesozoic Sub-Continental Lithospheric Thinning Under Eastern Asia</t>
  </si>
  <si>
    <t>1-86239-225-0</t>
  </si>
  <si>
    <t>978-186239-225-0</t>
  </si>
  <si>
    <t>SP279</t>
  </si>
  <si>
    <t>Natural and Anthropogenic Hazards in Karst Areas</t>
  </si>
  <si>
    <t>1-86239-224-2</t>
  </si>
  <si>
    <t>978-186239-224-3</t>
  </si>
  <si>
    <t>SP278</t>
  </si>
  <si>
    <t>Devonian Events and Correlations</t>
  </si>
  <si>
    <t>1-86239-222-6</t>
  </si>
  <si>
    <t>978-186239-222-9</t>
  </si>
  <si>
    <t>SP277</t>
  </si>
  <si>
    <t>Seismic Geomorphology</t>
  </si>
  <si>
    <t>1-86239-223-4</t>
  </si>
  <si>
    <t>978-186239-223-6</t>
  </si>
  <si>
    <t>SP276</t>
  </si>
  <si>
    <t>Economic and Palaeoceanographic Importance of Contourites</t>
  </si>
  <si>
    <t>1-86239-226-9</t>
  </si>
  <si>
    <t>978-186239-226-7</t>
  </si>
  <si>
    <t>SP275</t>
  </si>
  <si>
    <t>Palaeozoic Reefs and Bioaccumulations</t>
  </si>
  <si>
    <t>1-86239-216-1</t>
  </si>
  <si>
    <t>978-186239-221-2</t>
  </si>
  <si>
    <t>SP274</t>
  </si>
  <si>
    <t>Coastal and Shelf Sediment Transport</t>
  </si>
  <si>
    <t>978-186239-217-5</t>
  </si>
  <si>
    <t>SP273</t>
  </si>
  <si>
    <t>Myth &amp; Geology</t>
  </si>
  <si>
    <t>978-186239-216-8</t>
  </si>
  <si>
    <t>n/a</t>
  </si>
  <si>
    <t>SP272</t>
  </si>
  <si>
    <t>Deformation of the Continental Crust</t>
  </si>
  <si>
    <t>1-86239-215-3</t>
  </si>
  <si>
    <t>978-186239-215-1</t>
  </si>
  <si>
    <t>SP271</t>
  </si>
  <si>
    <t>Building Stone Decay from Diagnosis to Conservation</t>
  </si>
  <si>
    <t>1-86239-213-7</t>
  </si>
  <si>
    <t>978-186239-218-2</t>
  </si>
  <si>
    <t>SP270</t>
  </si>
  <si>
    <t>Fractured Reservoirs</t>
  </si>
  <si>
    <t>978-186239-213-7</t>
  </si>
  <si>
    <t>IAV001</t>
  </si>
  <si>
    <t>Statistics in Volcanology</t>
  </si>
  <si>
    <t>1-86239-208-0</t>
  </si>
  <si>
    <t>978-1-86239-208-3</t>
  </si>
  <si>
    <t>GOEWP</t>
  </si>
  <si>
    <t>Geology of England and Wales, 2nd edition (Paperback)</t>
  </si>
  <si>
    <t>1-86239-200-5</t>
  </si>
  <si>
    <t>978-186239-200-7</t>
  </si>
  <si>
    <t>GOEWH</t>
  </si>
  <si>
    <t>Geology of England and Wales, 2nd edition (Hardback)</t>
  </si>
  <si>
    <t>1-86239-199-8</t>
  </si>
  <si>
    <t>978-1-86239-199-4</t>
  </si>
  <si>
    <t>SPE21</t>
  </si>
  <si>
    <t>Clay Materials in Construction</t>
  </si>
  <si>
    <t>1-86239-184-X</t>
  </si>
  <si>
    <t>978-1-86239-184-0</t>
  </si>
  <si>
    <t>SP269</t>
  </si>
  <si>
    <t>Mechanisms of Activity and Unrests at Large Calderas</t>
  </si>
  <si>
    <t>1-86239-211-0</t>
  </si>
  <si>
    <t>978-186239-211-3</t>
  </si>
  <si>
    <t>SP268</t>
  </si>
  <si>
    <t>Channel Flow, Ductile Extrusion and Exhumation</t>
  </si>
  <si>
    <t>1-86239-209-9</t>
  </si>
  <si>
    <t>978-1-86239-209-0</t>
  </si>
  <si>
    <t>SP267</t>
  </si>
  <si>
    <t>New Techniques in Sediment Core Analysis</t>
  </si>
  <si>
    <t>1-86239-210-2</t>
  </si>
  <si>
    <t>978-1-86239-210-6</t>
  </si>
  <si>
    <t>SP266</t>
  </si>
  <si>
    <t>Functions of Soils for Human Societies and the Environment</t>
  </si>
  <si>
    <t>1-86239-207-2</t>
  </si>
  <si>
    <t>978-1-86239-207-6</t>
  </si>
  <si>
    <t>SP265</t>
  </si>
  <si>
    <t>Non-Marine Permian Biostratigraphy and Biochronology</t>
  </si>
  <si>
    <t>1-86239-206-4</t>
  </si>
  <si>
    <t>978-1-86239-206-9</t>
  </si>
  <si>
    <t>SP264</t>
  </si>
  <si>
    <t>Compositional Data Analysis in the Geosciences</t>
  </si>
  <si>
    <t>1-86239-205-6</t>
  </si>
  <si>
    <t>978-1-86239-205-2</t>
  </si>
  <si>
    <t>SP263</t>
  </si>
  <si>
    <t xml:space="preserve">Fluid Flow and Solute Movement in Sandstones: The Onshore UK Permo-Triassic Red Bed Sequence </t>
  </si>
  <si>
    <t>1-86239-204-8</t>
  </si>
  <si>
    <t>978-1-86239-204-5</t>
  </si>
  <si>
    <t>SP262</t>
  </si>
  <si>
    <t>Tectonics of the Western Mediterranean and North Africa</t>
  </si>
  <si>
    <t>1-86239-202-1</t>
  </si>
  <si>
    <t>978-1-86239-202-1</t>
  </si>
  <si>
    <t>SP261</t>
  </si>
  <si>
    <t>Fractal Analysis for Natural Hazards</t>
  </si>
  <si>
    <t>1-86239-201-3</t>
  </si>
  <si>
    <t>978-1-86239-201-4</t>
  </si>
  <si>
    <t>SP260</t>
  </si>
  <si>
    <t>Tectonic Development of the Eastern Mediterranean Region</t>
  </si>
  <si>
    <t>1-86239-198-X</t>
  </si>
  <si>
    <t>978-1-86239-198-7</t>
  </si>
  <si>
    <t>SP259</t>
  </si>
  <si>
    <t>The Afar Volcanic Province within the East African Rift System</t>
  </si>
  <si>
    <t>1-86239-196-3</t>
  </si>
  <si>
    <t>978-1-86239-196-3</t>
  </si>
  <si>
    <t>SP258</t>
  </si>
  <si>
    <t>Cretaceous-Tertiary High-Latitude Palaeoenvironments</t>
  </si>
  <si>
    <t>1-86239-197-1</t>
  </si>
  <si>
    <t>978-1-86239-197-0</t>
  </si>
  <si>
    <t>SP257</t>
  </si>
  <si>
    <t>Geomaterials in Cultural Heritage</t>
  </si>
  <si>
    <t>1-86239-195-5</t>
  </si>
  <si>
    <t>978-1-86239-195-6</t>
  </si>
  <si>
    <t>SP256</t>
  </si>
  <si>
    <t>The History of Meteorites and Key Meteorite Collections: fireballs, Falls and Finds</t>
  </si>
  <si>
    <t>1-86239-194-7</t>
  </si>
  <si>
    <t>978-1-86239-194-9</t>
  </si>
  <si>
    <t>SP255</t>
  </si>
  <si>
    <t>Cool Water Carbonates: Depositional Systems and Palaeoenvironmental Controls</t>
  </si>
  <si>
    <t>1-86239-193-9</t>
  </si>
  <si>
    <t>978-1-86239-193-2</t>
  </si>
  <si>
    <t>SP254</t>
  </si>
  <si>
    <t>The Deliberate Search for the Stratigraphic Trap</t>
  </si>
  <si>
    <t>1-86239-192-0</t>
  </si>
  <si>
    <t>978-1-86239-192-5</t>
  </si>
  <si>
    <t>SP253</t>
  </si>
  <si>
    <t>Analogue and Numerical Modelling of Crustal-Scale Processes</t>
  </si>
  <si>
    <t>1-86239-191-2</t>
  </si>
  <si>
    <t>978-1-86239-191-8</t>
  </si>
  <si>
    <t>M0032</t>
  </si>
  <si>
    <t>European Lithosphere Dynamics</t>
  </si>
  <si>
    <t>1-86239-212-9</t>
  </si>
  <si>
    <t>978-1-86239-212-0</t>
  </si>
  <si>
    <t>TMS001</t>
  </si>
  <si>
    <t>Recent Developments in Applied Biostratigraphy</t>
  </si>
  <si>
    <t>1-86239-187-4</t>
  </si>
  <si>
    <t>978-1-86239-187-1</t>
  </si>
  <si>
    <t>SP252</t>
  </si>
  <si>
    <t>The Neuquen Basin, Argentina</t>
  </si>
  <si>
    <t>1-86239-190-4</t>
  </si>
  <si>
    <t>978-1-86239-190-1</t>
  </si>
  <si>
    <t>SP251</t>
  </si>
  <si>
    <t>Alluvial Fans</t>
  </si>
  <si>
    <t>1-86239-189-0</t>
  </si>
  <si>
    <t>978-1-86239-189-5</t>
  </si>
  <si>
    <t>SP250</t>
  </si>
  <si>
    <t>Sustainable Minerals Operations in the Developing Worlds</t>
  </si>
  <si>
    <t>1-86239-188-2</t>
  </si>
  <si>
    <t>978-1-86239-188-8</t>
  </si>
  <si>
    <t>SP249</t>
  </si>
  <si>
    <t>Understanding the Micro to Macro Behaviour of rock-Fluid Systems</t>
  </si>
  <si>
    <t>1-86239-186-6</t>
  </si>
  <si>
    <t>978-1-86239-186-4</t>
  </si>
  <si>
    <t>SP248</t>
  </si>
  <si>
    <t>Mineral Deposits and Earth Evolution</t>
  </si>
  <si>
    <t>1-86239-182-3</t>
  </si>
  <si>
    <t>978-1-86239-182-6</t>
  </si>
  <si>
    <t>Limited stocks</t>
  </si>
  <si>
    <t>SP247</t>
  </si>
  <si>
    <t>Early-Middle Pleistocene Transitions</t>
  </si>
  <si>
    <t>1-86239-181-5</t>
  </si>
  <si>
    <t>978-1-86239-181-9</t>
  </si>
  <si>
    <t>SP246</t>
  </si>
  <si>
    <t>Terrane Processes at the Margins of Gondwana</t>
  </si>
  <si>
    <t>1-86239-179-3</t>
  </si>
  <si>
    <t>978-1-86239-179-6</t>
  </si>
  <si>
    <t>SP245</t>
  </si>
  <si>
    <t>High-Strain Zones</t>
  </si>
  <si>
    <t>1-86239-178-5</t>
  </si>
  <si>
    <t>978-1-86239-178-9</t>
  </si>
  <si>
    <t>SP244</t>
  </si>
  <si>
    <t>Submarine Slope Systems</t>
  </si>
  <si>
    <t>1-86239-177-7</t>
  </si>
  <si>
    <t>978-1-86239-177-2</t>
  </si>
  <si>
    <t>SP243</t>
  </si>
  <si>
    <t>Deformation Mechanisms, Rheology and Tectonics: from Minerals to the Lithosphere</t>
  </si>
  <si>
    <t>1-86239-176-9</t>
  </si>
  <si>
    <t>978-1-86239-176-5</t>
  </si>
  <si>
    <t>SP242</t>
  </si>
  <si>
    <t>Cryospheric Systems: Glaciers and Permafrost</t>
  </si>
  <si>
    <t>1-86239-175-0</t>
  </si>
  <si>
    <t>978-1-86239-175-8</t>
  </si>
  <si>
    <t>SP241</t>
  </si>
  <si>
    <t>History of Palaeobotany</t>
  </si>
  <si>
    <t>1-86239-174-2</t>
  </si>
  <si>
    <t>978-1-86239-174-1</t>
  </si>
  <si>
    <t>SP240</t>
  </si>
  <si>
    <t>Petrophysical Properties of Crystal Rock</t>
  </si>
  <si>
    <t>1-86239-173-4</t>
  </si>
  <si>
    <t>978-1-86239-173-4</t>
  </si>
  <si>
    <t>PGC6</t>
  </si>
  <si>
    <t>Petroleum Geology: North-West Europe and Global Perspectives: Proceedings of the 6th Petroleum Geology Conference (book) (Published on behalf of Petroleum Geology Conferences Ltd)</t>
  </si>
  <si>
    <t>1-86239-164-5</t>
  </si>
  <si>
    <t>978-1-86239-164-2</t>
  </si>
  <si>
    <t>M0031</t>
  </si>
  <si>
    <t>Sumatra: Geology, Resources and Tectonic Evolution</t>
  </si>
  <si>
    <t>1-86239-180-7</t>
  </si>
  <si>
    <t>978-1-86239-180-2</t>
  </si>
  <si>
    <t>RFM4B</t>
  </si>
  <si>
    <t>Framework Silicates, Silica Minerals, Feldspathoids and the Zeolites  - Volume 4B (2nd edition)</t>
  </si>
  <si>
    <t>1-86239-144-0</t>
  </si>
  <si>
    <t>978-1-86239-144-4</t>
  </si>
  <si>
    <t>SPE20</t>
  </si>
  <si>
    <t>Coastal Chalk Cliff Instability</t>
  </si>
  <si>
    <t>1-86239-150-5</t>
  </si>
  <si>
    <t>978-1-86239-150-5</t>
  </si>
  <si>
    <t>SP239</t>
  </si>
  <si>
    <t>Geological Prior Information</t>
  </si>
  <si>
    <t>1-86239-171-8</t>
  </si>
  <si>
    <t>978-1-86239-171-0</t>
  </si>
  <si>
    <t>SP238</t>
  </si>
  <si>
    <t>Magnetic Fabric</t>
  </si>
  <si>
    <t>1-86239-170-X</t>
  </si>
  <si>
    <t>978-1-86239-170-3</t>
  </si>
  <si>
    <t>SP237</t>
  </si>
  <si>
    <t>Understanding Petroleum Reservoirs: Towards an Integrated Reservoir Engineering and Geochemical Approach</t>
  </si>
  <si>
    <t>1-86239-168-8</t>
  </si>
  <si>
    <t>978-1-86239-168-0</t>
  </si>
  <si>
    <t>SP236</t>
  </si>
  <si>
    <t>Energy, Waste and the Environment: a Geochemical Perspective</t>
  </si>
  <si>
    <t>1-86239-167-X</t>
  </si>
  <si>
    <t>978-1-86239-167-3</t>
  </si>
  <si>
    <t>SP235</t>
  </si>
  <si>
    <t>The Geometry and Petrogenesis of Dolomite Hydrocarbon Reservoirs</t>
  </si>
  <si>
    <t>1-86239-166-1</t>
  </si>
  <si>
    <t>978-1-86239-166-6</t>
  </si>
  <si>
    <t>SP234</t>
  </si>
  <si>
    <t>Physical Geology High-Level Magmatic Systems</t>
  </si>
  <si>
    <t>1-86239-169-6</t>
  </si>
  <si>
    <t>978-1-86239-169-7</t>
  </si>
  <si>
    <t>SP233</t>
  </si>
  <si>
    <t>Geological Storage of Carbon Dioxide</t>
  </si>
  <si>
    <t>1-86239-163-7</t>
  </si>
  <si>
    <t>978-1-86239-163-5</t>
  </si>
  <si>
    <t>SP232</t>
  </si>
  <si>
    <t>Forensic Geoscience</t>
  </si>
  <si>
    <t>1-86239-161-0</t>
  </si>
  <si>
    <t>978-1-86239-161-1</t>
  </si>
  <si>
    <t>SP231</t>
  </si>
  <si>
    <t>The Initiation, Propagation, and Arrest of Joints and Other Fractures</t>
  </si>
  <si>
    <t>1-86239-165-3</t>
  </si>
  <si>
    <t>978-1-86239-165-9</t>
  </si>
  <si>
    <t>SP230</t>
  </si>
  <si>
    <t>The Palynology and Micropalaeontology of Boundaries</t>
  </si>
  <si>
    <t>1-86239-160-2</t>
  </si>
  <si>
    <t>978-1-86239-160-4</t>
  </si>
  <si>
    <t>SP229</t>
  </si>
  <si>
    <t>Origin and Evolution of the Ontong Java Plateau</t>
  </si>
  <si>
    <t>1-86239-157-2</t>
  </si>
  <si>
    <t>978-1-86239-157-4</t>
  </si>
  <si>
    <t>SP228</t>
  </si>
  <si>
    <t>The Application of Ichnology to Palaeoenvironmental and Stratigraphic Analysis</t>
  </si>
  <si>
    <t>1-86239-154-8</t>
  </si>
  <si>
    <t>978-1-86239-154-3</t>
  </si>
  <si>
    <t>SP227</t>
  </si>
  <si>
    <t>Vertical Coupling and Decoupling in the Lithosphere</t>
  </si>
  <si>
    <t>1-86239-159-9</t>
  </si>
  <si>
    <t>978-1-86239-159-8</t>
  </si>
  <si>
    <t>SP226</t>
  </si>
  <si>
    <t>Aspects of the Tectonic Evolution of China</t>
  </si>
  <si>
    <t>1-86239-156-4</t>
  </si>
  <si>
    <t>978-1-86239-156-7</t>
  </si>
  <si>
    <t>SP225</t>
  </si>
  <si>
    <t>200 Years of British Hydrogeology</t>
  </si>
  <si>
    <t>1-86239-155-6</t>
  </si>
  <si>
    <t>978-1-86239-155-0</t>
  </si>
  <si>
    <t>SP224</t>
  </si>
  <si>
    <t>Flow Processes in Faults and shear Zones</t>
  </si>
  <si>
    <t>1-86239-153-X</t>
  </si>
  <si>
    <t>978-1-86239-153-6</t>
  </si>
  <si>
    <t>SP223</t>
  </si>
  <si>
    <t>Permo-Carboniferous Magmatism and Rifting in Europe</t>
  </si>
  <si>
    <t>1-86239-152-1</t>
  </si>
  <si>
    <t>978-1-86239-152-9</t>
  </si>
  <si>
    <t>SP222</t>
  </si>
  <si>
    <t>Confined Turbidite Systems</t>
  </si>
  <si>
    <t>1-86239-149-1</t>
  </si>
  <si>
    <t>978-1-86239-149-9</t>
  </si>
  <si>
    <t>SP221</t>
  </si>
  <si>
    <t>Deep-Water Sedimentation in the Alpine Basin SE France</t>
  </si>
  <si>
    <t>1-86239-148-3</t>
  </si>
  <si>
    <t>978-1-86239-148-2</t>
  </si>
  <si>
    <t>M0030</t>
  </si>
  <si>
    <t>The Neoproterozoic Timanide Orogen of Eastern Baltica</t>
  </si>
  <si>
    <t>1-86239-172-6</t>
  </si>
  <si>
    <t>978-1-86239-172-7</t>
  </si>
  <si>
    <t>M0029</t>
  </si>
  <si>
    <t>3D Seismic Technology: Application to the Exploration of Sedimentary Basins</t>
  </si>
  <si>
    <t>1-86239-151-3</t>
  </si>
  <si>
    <t>978-1-86239-151-2</t>
  </si>
  <si>
    <t>VI02</t>
  </si>
  <si>
    <t>Earth in view</t>
  </si>
  <si>
    <t>Volcanoes of Southern Italy</t>
  </si>
  <si>
    <t>1-86239-138-6</t>
  </si>
  <si>
    <t>978-1-86239-138-3</t>
  </si>
  <si>
    <t>RFM3A</t>
  </si>
  <si>
    <t>Micas - Volume 3A (2nd edition)</t>
  </si>
  <si>
    <t>1-86239-142-4</t>
  </si>
  <si>
    <t>978-1-86239-142-0</t>
  </si>
  <si>
    <t>SP220</t>
  </si>
  <si>
    <t>Geochronology: Linking Isotope Record with Petrology and Textures</t>
  </si>
  <si>
    <t>1-86239-146-7</t>
  </si>
  <si>
    <t>978-1-86239-146-8</t>
  </si>
  <si>
    <t>SP219</t>
  </si>
  <si>
    <t>Intra-Oceanic Subduction Systems</t>
  </si>
  <si>
    <t>1-86239-147-5</t>
  </si>
  <si>
    <t>978-1-86239-147-5</t>
  </si>
  <si>
    <t>SP218</t>
  </si>
  <si>
    <t>Ophiolites in Earth History</t>
  </si>
  <si>
    <t>1-86239-145-9</t>
  </si>
  <si>
    <t>978-1-86239-145-1</t>
  </si>
  <si>
    <t>SP217</t>
  </si>
  <si>
    <t>Evolution and Palaeobiology of Pterosaurs</t>
  </si>
  <si>
    <t>1-86239-143-2</t>
  </si>
  <si>
    <t>978-1-86239-143-7</t>
  </si>
  <si>
    <t>SP216</t>
  </si>
  <si>
    <t>Subsurface Sediment Mobilization</t>
  </si>
  <si>
    <t>1-86239-141-6</t>
  </si>
  <si>
    <t>978-1-86239-141-3</t>
  </si>
  <si>
    <t>SP215</t>
  </si>
  <si>
    <t>Application of X-ray Computed Tomography in the Geosciences</t>
  </si>
  <si>
    <t>1-86239-139-4</t>
  </si>
  <si>
    <t>978-1-86239-139-0</t>
  </si>
  <si>
    <t>SP214</t>
  </si>
  <si>
    <t>Hydrocarbons in Crystalline Rocks</t>
  </si>
  <si>
    <t>1-86239-137-8</t>
  </si>
  <si>
    <t>978-1-86239-137-6</t>
  </si>
  <si>
    <t>SP213</t>
  </si>
  <si>
    <t>Volcanic Degassing</t>
  </si>
  <si>
    <t>1-86239-136-X</t>
  </si>
  <si>
    <t>978-1-86239-136-9</t>
  </si>
  <si>
    <t>SP212</t>
  </si>
  <si>
    <t>New Insights into Structural Interpretation and Modelling</t>
  </si>
  <si>
    <t>1-86239-133-5</t>
  </si>
  <si>
    <t>978-1-86239-133-8</t>
  </si>
  <si>
    <t>SP211</t>
  </si>
  <si>
    <t>Ground Penetrating Radar in Sediments</t>
  </si>
  <si>
    <t>1-86239-131-9</t>
  </si>
  <si>
    <t>978-1-86239-131-4</t>
  </si>
  <si>
    <t>SP210</t>
  </si>
  <si>
    <t>Intraplate Strike-slip Deformation Belts</t>
  </si>
  <si>
    <t>1-86239-132-7</t>
  </si>
  <si>
    <t>978-1-86239-132-1</t>
  </si>
  <si>
    <t>SP209</t>
  </si>
  <si>
    <t>Fracture &amp; In-Situ Stress Characterization of Hydrocarbon Reservoirs</t>
  </si>
  <si>
    <t>1-86239-130-0</t>
  </si>
  <si>
    <t>978-1-86239-130-7</t>
  </si>
  <si>
    <t>SP208</t>
  </si>
  <si>
    <t>Tracing Tectonic Deformation Using the Sedimentary Record</t>
  </si>
  <si>
    <t>1-86239-129-7</t>
  </si>
  <si>
    <t>978-1-86239-129-1</t>
  </si>
  <si>
    <t>SP207</t>
  </si>
  <si>
    <t>Petroleum Geology of Africa: New Themes and Developing Technologies</t>
  </si>
  <si>
    <t>1-86239-128-9</t>
  </si>
  <si>
    <t>978-1-86239-128-4</t>
  </si>
  <si>
    <t>SP206</t>
  </si>
  <si>
    <t>Proterozoic East Gondwana: Supercontinent Assembly and Breakup</t>
  </si>
  <si>
    <t>1-86239-125-4</t>
  </si>
  <si>
    <t>978-1-86239-125-3</t>
  </si>
  <si>
    <t>M0028</t>
  </si>
  <si>
    <t>An Atlas of Carboniferous Basin Evolution in Northern England</t>
  </si>
  <si>
    <t>1-86239-135-1</t>
  </si>
  <si>
    <t>978-1-86239-135-2</t>
  </si>
  <si>
    <t>M0027</t>
  </si>
  <si>
    <t>Pyroclastic Density Currents and the Sedimentation of Ignimbrites</t>
  </si>
  <si>
    <t>1-86239-124-6</t>
  </si>
  <si>
    <t>978-1-86239-124-6</t>
  </si>
  <si>
    <t>M0022</t>
  </si>
  <si>
    <t>Deep-Water Contourites Systems: Modern Drifts and Ancient Series, Seismic and Sedimentary Characteristics</t>
  </si>
  <si>
    <t>1-86239-092-4</t>
  </si>
  <si>
    <t>978-1-86239-092-8</t>
  </si>
  <si>
    <t>M0020</t>
  </si>
  <si>
    <t>1-86239-089-4</t>
  </si>
  <si>
    <t>978-1-86239-089-8</t>
  </si>
  <si>
    <t>PHGSP</t>
  </si>
  <si>
    <t xml:space="preserve">Professional Handbook Series </t>
  </si>
  <si>
    <t>Stratigraphical Procedure (paperback)</t>
  </si>
  <si>
    <t>1-86239-094-0</t>
  </si>
  <si>
    <t>978-1-86239-094-2</t>
  </si>
  <si>
    <t>Millennium Atlas</t>
  </si>
  <si>
    <t>MILAT</t>
  </si>
  <si>
    <t>The Millennium Atlas – Petroleum Geology of the Central &amp; Northern North Sea (book)</t>
  </si>
  <si>
    <t>1-86239-119-X</t>
  </si>
  <si>
    <t>978-1-86239-119-2</t>
  </si>
  <si>
    <t>KITII</t>
  </si>
  <si>
    <t>Extensional Tectonics: Faulting and Related Processes (volume 2, part 2)</t>
  </si>
  <si>
    <t>1-86239-115-7</t>
  </si>
  <si>
    <t>978-1-86239-115-4</t>
  </si>
  <si>
    <t>KIMAP</t>
  </si>
  <si>
    <t>Mapping in Engineering Geology (volume 1)</t>
  </si>
  <si>
    <t>1-86239-101-7</t>
  </si>
  <si>
    <t>978-1-86239-101-7</t>
  </si>
  <si>
    <t>KIETI</t>
  </si>
  <si>
    <t>Extensional Tectonics: Regional-Scale Processes (volume 2, part 1)</t>
  </si>
  <si>
    <t>1-86239-114-9</t>
  </si>
  <si>
    <t>978-1-86239-114-7</t>
  </si>
  <si>
    <t>INDMN</t>
  </si>
  <si>
    <t>Industrial Minerals and Extract Industry Geology</t>
  </si>
  <si>
    <t>1-86239-099-1</t>
  </si>
  <si>
    <t>978-1-86239-099-7</t>
  </si>
  <si>
    <t>GOSPP</t>
  </si>
  <si>
    <t>The Geology of Spain (Paperback)</t>
  </si>
  <si>
    <t>1-86239-127-0</t>
  </si>
  <si>
    <t>978-1-86239-127-7</t>
  </si>
  <si>
    <t>GOSPH</t>
  </si>
  <si>
    <t>The Geology of Spain (Hardback)</t>
  </si>
  <si>
    <t>1-86239-110-6</t>
  </si>
  <si>
    <t>978-1-86239-110-9</t>
  </si>
  <si>
    <t>GOS4P</t>
  </si>
  <si>
    <t>The Geology of Scotland, 4th edition (Paperback)</t>
  </si>
  <si>
    <t>1-86239-126-2</t>
  </si>
  <si>
    <t>978-1-86239-126-0</t>
  </si>
  <si>
    <t>GOS4H</t>
  </si>
  <si>
    <t>The Geology of Scotland, 4th edition (Hardback)</t>
  </si>
  <si>
    <t>1-86239-105-X</t>
  </si>
  <si>
    <t>978-1-86239-105-5</t>
  </si>
  <si>
    <t>SPE19</t>
  </si>
  <si>
    <t>Geophysics in Engineering Investigations</t>
  </si>
  <si>
    <t>0-86017-562-6</t>
  </si>
  <si>
    <t>978-0-86017-562-9</t>
  </si>
  <si>
    <t>SP205</t>
  </si>
  <si>
    <t>Natural Stone Weathering Phenomena, Conservation Strategies and Case Studies</t>
  </si>
  <si>
    <t>1-86239-123-8</t>
  </si>
  <si>
    <t>978-1-86239-123-9</t>
  </si>
  <si>
    <t>SP204</t>
  </si>
  <si>
    <t>The Timing and Location of Major Ore Deposits in an Evolving Orogen</t>
  </si>
  <si>
    <t>1-86239-122-X</t>
  </si>
  <si>
    <t>978-1-86239-122-2</t>
  </si>
  <si>
    <t>SP203</t>
  </si>
  <si>
    <t>Glacier Influenced Sedimentation on High-Latitude Continental Margins</t>
  </si>
  <si>
    <t>1-86239-120-3</t>
  </si>
  <si>
    <t>978-1-86239-120-8</t>
  </si>
  <si>
    <t>SP202</t>
  </si>
  <si>
    <t>Volcano-Ice Interaction on Earth and Mars</t>
  </si>
  <si>
    <t>1-86239-121-1</t>
  </si>
  <si>
    <t>978-1-86239-121-5</t>
  </si>
  <si>
    <t>SP201</t>
  </si>
  <si>
    <t>Palaeozoic Amalgamation of Central Europe</t>
  </si>
  <si>
    <t>1-86239-118-1</t>
  </si>
  <si>
    <t>978-1-86239-118-5</t>
  </si>
  <si>
    <t>SP200</t>
  </si>
  <si>
    <t>Deformation Mechanisms, Rheology and Tectonics: Current Status and Future Perspectives</t>
  </si>
  <si>
    <t>1-86239-117-3</t>
  </si>
  <si>
    <t>978-1-86239-117-8</t>
  </si>
  <si>
    <t>101-200</t>
  </si>
  <si>
    <t>SP199</t>
  </si>
  <si>
    <t>The Early Earth: Physical, Chemical and Biological Development</t>
  </si>
  <si>
    <t>1-86239-109-2</t>
  </si>
  <si>
    <t>978-1-86239-109-3</t>
  </si>
  <si>
    <t>SP198</t>
  </si>
  <si>
    <t>Mine Water Hydrogeology and Geochemistry</t>
  </si>
  <si>
    <t>1-86239-113-0</t>
  </si>
  <si>
    <t>978-1-86239-113-0</t>
  </si>
  <si>
    <t>SP197</t>
  </si>
  <si>
    <t>The North Atlantic Igneous Province: Stratigraphy, Tectonic, Volcanic and Magmatic Processes</t>
  </si>
  <si>
    <t>1-86239-108-4</t>
  </si>
  <si>
    <t>978-1-86239-108-6</t>
  </si>
  <si>
    <t>SP196</t>
  </si>
  <si>
    <t>Exhumation of the North Atlantic Margin: Timing, Mechanisms and Implications for Petroleum Exploration</t>
  </si>
  <si>
    <t>1-86239-112-2</t>
  </si>
  <si>
    <t>978-1-86239-112-3</t>
  </si>
  <si>
    <t>SP195</t>
  </si>
  <si>
    <t>The Tectonic and Climatic Evolution of the Arabian Sea Region</t>
  </si>
  <si>
    <t>1-86239-111-4</t>
  </si>
  <si>
    <t>978-1-86239-111-6</t>
  </si>
  <si>
    <t>SP194</t>
  </si>
  <si>
    <t>Palaeobiogeography and Biodiversity Change: the Ordovician and Mesozoic-Cenozoic Radiations</t>
  </si>
  <si>
    <t>1-86239-106-8</t>
  </si>
  <si>
    <t>978-1-86239-106-2</t>
  </si>
  <si>
    <t>SP193</t>
  </si>
  <si>
    <t>Sustainable Groundwater Development</t>
  </si>
  <si>
    <t>1-86239-097-5</t>
  </si>
  <si>
    <t>978-1-86239-097-3</t>
  </si>
  <si>
    <t>SP192</t>
  </si>
  <si>
    <t>The Earth Inside and Out: Some Major contributions to Geology in the Twentieth Century</t>
  </si>
  <si>
    <t>1-86239-096-7</t>
  </si>
  <si>
    <t>978-1-86239-096-6</t>
  </si>
  <si>
    <t>SP191</t>
  </si>
  <si>
    <t>Sediment Flux to Basins: Causes, Controls and Consequences</t>
  </si>
  <si>
    <t>1-86239-095-9</t>
  </si>
  <si>
    <t>978-1-86239-095-9</t>
  </si>
  <si>
    <t>M0026</t>
  </si>
  <si>
    <t>The Lewisian Geology of Gairloch, NW Scotland</t>
  </si>
  <si>
    <t>1-86239-116-5</t>
  </si>
  <si>
    <t>978-1-86239-116-1</t>
  </si>
  <si>
    <t>M0025</t>
  </si>
  <si>
    <t>Earth Water Ice and Fire: Two Hundred Years of Geological Research in the English Lake District</t>
  </si>
  <si>
    <t>1-86239-107-6</t>
  </si>
  <si>
    <t>978-1-86239-107-9</t>
  </si>
  <si>
    <t>M0024</t>
  </si>
  <si>
    <t>The Later Proterozoic Torridonian Rocks of Scotland: their Sedimentology, Geochemistry and Origin</t>
  </si>
  <si>
    <t>1-86239-103-3</t>
  </si>
  <si>
    <t>978-1-86239-103-1</t>
  </si>
  <si>
    <t>M0023</t>
  </si>
  <si>
    <t>The Life of Frank Cole Phillips (1902-1982)</t>
  </si>
  <si>
    <t>1-86239-102-5</t>
  </si>
  <si>
    <t>978-1-86239-102-4</t>
  </si>
  <si>
    <t>M0021</t>
  </si>
  <si>
    <t>The Eruption of Soufriere Hills Volcano, Montserrat, from 1995 to 1999</t>
  </si>
  <si>
    <t>1-86239-098-3</t>
  </si>
  <si>
    <t>978-1-86239-098-0</t>
  </si>
  <si>
    <t>VI01</t>
  </si>
  <si>
    <t>Tektites in the Geological Record: Showers of Glass from the Sky</t>
  </si>
  <si>
    <t>1-86239-085-1</t>
  </si>
  <si>
    <t>978-1-86239-085-0</t>
  </si>
  <si>
    <t>RFM4A</t>
  </si>
  <si>
    <t>Framework Silicates Feldspars - Volume 4A (2nd edition)</t>
  </si>
  <si>
    <t>1-86239-081-9</t>
  </si>
  <si>
    <t>978-1-86239-081-2</t>
  </si>
  <si>
    <t>MPB58</t>
  </si>
  <si>
    <t>Alkaline Rocks and Carbonatites of the World  Part 3: Africa</t>
  </si>
  <si>
    <t>1-86239-083-5</t>
  </si>
  <si>
    <t>978-1-86239-083-6</t>
  </si>
  <si>
    <t>SPE18</t>
  </si>
  <si>
    <t>Land Surface Evaluation for Engineering Practice</t>
  </si>
  <si>
    <t>1-86239-084-3</t>
  </si>
  <si>
    <t>978-1-86239-084-3</t>
  </si>
  <si>
    <t>SPE17</t>
  </si>
  <si>
    <t>Aggregates: Sand, Gravel, and Crushed Rock Aggregates for Construction Purposes (3rd edition)</t>
  </si>
  <si>
    <t>1-86239-079-7</t>
  </si>
  <si>
    <t>978-1-86239-079-9</t>
  </si>
  <si>
    <t>SP190</t>
  </si>
  <si>
    <t>The Age of the Earth: from 4004BC to AD2002</t>
  </si>
  <si>
    <t>1-86239-093-2</t>
  </si>
  <si>
    <t>978-1-86239-093-5</t>
  </si>
  <si>
    <t>SP189</t>
  </si>
  <si>
    <t>Palaeowaters in Coastal Europe: evolution of groundwater since the late Pleistocene</t>
  </si>
  <si>
    <t>1-86239-086-X</t>
  </si>
  <si>
    <t>978-1-86239-086-7</t>
  </si>
  <si>
    <t>SP188</t>
  </si>
  <si>
    <t>The Petroleum Exploration of Ireland's Offshore Basins</t>
  </si>
  <si>
    <t>1-86239-087-8</t>
  </si>
  <si>
    <t>978-1-86239-087-4</t>
  </si>
  <si>
    <t>SP187</t>
  </si>
  <si>
    <t>Non-volcanic Rifting of Continental Margins</t>
  </si>
  <si>
    <t>1-86239-091-6</t>
  </si>
  <si>
    <t>978-1-86239-091-1</t>
  </si>
  <si>
    <t>SP186</t>
  </si>
  <si>
    <t>The Nature and Tectonic Significance of Fault Zone Weakening</t>
  </si>
  <si>
    <t>1-86239-090-8</t>
  </si>
  <si>
    <t>978-1-86239-090-4</t>
  </si>
  <si>
    <t>SP185</t>
  </si>
  <si>
    <t>Drift Exploration in Glaciated Terrain</t>
  </si>
  <si>
    <t>1-86239-082-7</t>
  </si>
  <si>
    <t>978-1-86239-082-9</t>
  </si>
  <si>
    <t>SP184</t>
  </si>
  <si>
    <t>Continental Reactivation and Reworking</t>
  </si>
  <si>
    <t>1-86239-080-0</t>
  </si>
  <si>
    <t>978-1-86239-080-5</t>
  </si>
  <si>
    <t>SP183</t>
  </si>
  <si>
    <t>Western North Atlantic Palaeogene and Cretaceous Palaeoceanography</t>
  </si>
  <si>
    <t>1-86239-078-9</t>
  </si>
  <si>
    <t>978-1-86239-078-2</t>
  </si>
  <si>
    <t>SR024</t>
  </si>
  <si>
    <t>A Revised Correlation of Ordovician Rocks In the British Isles</t>
  </si>
  <si>
    <t>1-86239-069-X</t>
  </si>
  <si>
    <t>978-1-86239-069-0</t>
  </si>
  <si>
    <t>MPB48</t>
  </si>
  <si>
    <t>Geology and Warfare</t>
  </si>
  <si>
    <t>1-86239-065-7</t>
  </si>
  <si>
    <t>978-1-86239-065-2</t>
  </si>
  <si>
    <t>SP182</t>
  </si>
  <si>
    <t>Groundwater in the Celtic Regions: Studies in Hard Rock and Quaternary Hydrogeology</t>
  </si>
  <si>
    <t>1-86239-077-0</t>
  </si>
  <si>
    <t>978-1-86239-077-5</t>
  </si>
  <si>
    <t>SP181</t>
  </si>
  <si>
    <t>Climate: Past and Present</t>
  </si>
  <si>
    <t>1-86239-075-4</t>
  </si>
  <si>
    <t>978-1-86239-075-1</t>
  </si>
  <si>
    <t>SP180</t>
  </si>
  <si>
    <t>New Perspectives on the Old Red Sandstone</t>
  </si>
  <si>
    <t>1-86239-071-1</t>
  </si>
  <si>
    <t>978-1-86239-071-3</t>
  </si>
  <si>
    <t>SP179</t>
  </si>
  <si>
    <t>Orogenic Processes: Quantification and Modelling in the Variscan Belt</t>
  </si>
  <si>
    <t>1-86239-073-8</t>
  </si>
  <si>
    <t>978-1-86239-073-7</t>
  </si>
  <si>
    <t>SP178</t>
  </si>
  <si>
    <t>Carbonate Platform Systems: components and interactions</t>
  </si>
  <si>
    <t>1-86239-074-6</t>
  </si>
  <si>
    <t>978-1-86239-074-4</t>
  </si>
  <si>
    <t>SP177</t>
  </si>
  <si>
    <t>Evolutionary Biology of the Bivalvia</t>
  </si>
  <si>
    <t>1-86239-076-2</t>
  </si>
  <si>
    <t>978-1-86239-076-8</t>
  </si>
  <si>
    <t>SP176</t>
  </si>
  <si>
    <t>Deformation of Glacial Materials</t>
  </si>
  <si>
    <t>1-86239-072-X</t>
  </si>
  <si>
    <t>978-1-86239-072-0</t>
  </si>
  <si>
    <t>SP175</t>
  </si>
  <si>
    <t>Coastal and Estuarine Environments: sedimentology, geomorphology and geoarchaeology</t>
  </si>
  <si>
    <t>1-86239-070-3</t>
  </si>
  <si>
    <t>978-1-86239-070-6</t>
  </si>
  <si>
    <t>SP173</t>
  </si>
  <si>
    <t>Tectonics and Magmatism in Turkey and the Surrounding Area</t>
  </si>
  <si>
    <t>1-86239-064-9</t>
  </si>
  <si>
    <t>978-1-86239-064-5</t>
  </si>
  <si>
    <t>SP172</t>
  </si>
  <si>
    <t>Sedimentary Response to Forced Regression</t>
  </si>
  <si>
    <t>1-86239-063-0</t>
  </si>
  <si>
    <t>978-1-86239-063-8</t>
  </si>
  <si>
    <t>SP171</t>
  </si>
  <si>
    <t>The Archaeology of Geological Catastrophes</t>
  </si>
  <si>
    <t>1-86239-062-2</t>
  </si>
  <si>
    <t>978-1-86239-062-1</t>
  </si>
  <si>
    <t>SP170</t>
  </si>
  <si>
    <t>Tectonics of Nanga Parbat Syntaxis and the Western Himalaya</t>
  </si>
  <si>
    <t>1-86239-061-4</t>
  </si>
  <si>
    <t>978-1-86239-061-4</t>
  </si>
  <si>
    <t>SP167</t>
  </si>
  <si>
    <t>Dynamics of the Norwegian Margin</t>
  </si>
  <si>
    <t>1-86239-056-8</t>
  </si>
  <si>
    <t>978-1-86239-056-0</t>
  </si>
  <si>
    <t>SP166</t>
  </si>
  <si>
    <t>Holocene Land-Ocean Interaction and Environmental Change around the North Sea</t>
  </si>
  <si>
    <t>1-86239-054-1</t>
  </si>
  <si>
    <t>978-1-86239-054-6</t>
  </si>
  <si>
    <t>TOTE3</t>
  </si>
  <si>
    <t>Theory of The Earth (Volume III)</t>
  </si>
  <si>
    <t>1-897799-78-0</t>
  </si>
  <si>
    <t>978-1-897799-78-9</t>
  </si>
  <si>
    <t>SR023</t>
  </si>
  <si>
    <t xml:space="preserve">A Revised Correlation of Quaternary Deposits In The British Isles </t>
  </si>
  <si>
    <t>1-86239-042-8</t>
  </si>
  <si>
    <t>978-1-86239-042-3</t>
  </si>
  <si>
    <t>MPB47</t>
  </si>
  <si>
    <t>The Index: The Scientific Papers Published in the Journal of the Geological Society 1845 to 1998 (CD-Rom)</t>
  </si>
  <si>
    <t>978-1-86239-059-1</t>
  </si>
  <si>
    <t>MPB43</t>
  </si>
  <si>
    <t>Late Cenozoic Environments and Hominid Evolution: a tribute to Bill Bishop</t>
  </si>
  <si>
    <t>1-86239-036-3</t>
  </si>
  <si>
    <t>978-1-86239-036-2</t>
  </si>
  <si>
    <t>MPB42</t>
  </si>
  <si>
    <t>BIRPS Atlas II (set of 3 CDs)</t>
  </si>
  <si>
    <t>1-86239-037-1</t>
  </si>
  <si>
    <t>978-1-86239-037-9</t>
  </si>
  <si>
    <t>FPASH</t>
  </si>
  <si>
    <t>Fossil Plants and Spores (Hardback)</t>
  </si>
  <si>
    <t>1-86239-035-5</t>
  </si>
  <si>
    <t>978-1-86239-035-5</t>
  </si>
  <si>
    <t>SPE16</t>
  </si>
  <si>
    <t xml:space="preserve">Stone: Building stone, rock fill and armourstone in construction </t>
  </si>
  <si>
    <t>1-86239-029-0</t>
  </si>
  <si>
    <t>978-1-86239-029-4</t>
  </si>
  <si>
    <t>SP174</t>
  </si>
  <si>
    <t>Salt, Shale and Igneous Diapirs in and around Europe</t>
  </si>
  <si>
    <t>1-86239-066-5</t>
  </si>
  <si>
    <t>978-1-86239-066-9</t>
  </si>
  <si>
    <t>SP169</t>
  </si>
  <si>
    <t>Forced Folds and Fractures</t>
  </si>
  <si>
    <t>1-86239-060-6</t>
  </si>
  <si>
    <t>978-1-86239-060-7</t>
  </si>
  <si>
    <t>SP168</t>
  </si>
  <si>
    <t>Understanding Granites: Integrating New and Classical Techniques</t>
  </si>
  <si>
    <t>1-86239-058-4</t>
  </si>
  <si>
    <t>978-1-86239-058-4</t>
  </si>
  <si>
    <t>SP165</t>
  </si>
  <si>
    <t>Geoarchaeology: exploration, environments, resources</t>
  </si>
  <si>
    <t>1-86239-053-3</t>
  </si>
  <si>
    <t>978-1-86239-053-9</t>
  </si>
  <si>
    <t>SP164</t>
  </si>
  <si>
    <t>Continental Tectonics</t>
  </si>
  <si>
    <t>1-86239-051-7</t>
  </si>
  <si>
    <t>978-1-86239-051-5</t>
  </si>
  <si>
    <t>SP163</t>
  </si>
  <si>
    <t>Floodplains: Interdisciplinary Approaches</t>
  </si>
  <si>
    <t>1-86239-050-9</t>
  </si>
  <si>
    <t>978-1-86239-050-8</t>
  </si>
  <si>
    <t>SP162</t>
  </si>
  <si>
    <t xml:space="preserve">Uplift, Erosion and Stability: perspectives on long-term landscape development </t>
  </si>
  <si>
    <t>1-86239-047-9</t>
  </si>
  <si>
    <t>978-1-86239-047-8</t>
  </si>
  <si>
    <t>SP161</t>
  </si>
  <si>
    <t>Volcanoes in the Quaternary</t>
  </si>
  <si>
    <t>1-86239-049-5</t>
  </si>
  <si>
    <t>978-1-86239-049-2</t>
  </si>
  <si>
    <t>SP160</t>
  </si>
  <si>
    <t>In Sight of the Suture: the Palaeozoic geology of the Isle of Man in its Iapetus Ocean context</t>
  </si>
  <si>
    <t>1-86239-046-0</t>
  </si>
  <si>
    <t>978-1-86239-046-1</t>
  </si>
  <si>
    <t>SP159</t>
  </si>
  <si>
    <t>Borehole Imaging: Applications and Case Histories</t>
  </si>
  <si>
    <t>1-86239-043-6</t>
  </si>
  <si>
    <t>978-1-86239-043-0</t>
  </si>
  <si>
    <t>SP158</t>
  </si>
  <si>
    <t>Muds and Mudstones: Physical and Fluid-Flow Properties</t>
  </si>
  <si>
    <t>1-86239-044-4</t>
  </si>
  <si>
    <t>978-1-86239-044-7</t>
  </si>
  <si>
    <t>SP157</t>
  </si>
  <si>
    <t>Chemical Containment of Waste in the Geosphere</t>
  </si>
  <si>
    <t>1-86239-040-1</t>
  </si>
  <si>
    <t>978-1-86239-040-9</t>
  </si>
  <si>
    <t>SP156</t>
  </si>
  <si>
    <t>The Mediterranean Basins: Tertiary Extension within the Alpine Orogen</t>
  </si>
  <si>
    <t>1-86239-033-9</t>
  </si>
  <si>
    <t>978-1-86239-033-1</t>
  </si>
  <si>
    <t>SP155</t>
  </si>
  <si>
    <t xml:space="preserve">Fractures, Fluid Flow and Mineralization </t>
  </si>
  <si>
    <t>1-86239-034-7</t>
  </si>
  <si>
    <t>978-1-86239-034-8</t>
  </si>
  <si>
    <t>SP154</t>
  </si>
  <si>
    <t>Exhumation Processes: Normal Faulting, Ductile Flow and Erosion</t>
  </si>
  <si>
    <t>1-86239-032-0</t>
  </si>
  <si>
    <t>978-1-86239-032-4</t>
  </si>
  <si>
    <t>SP153</t>
  </si>
  <si>
    <t>The Oil and Gas Habitats of the South Atlantic</t>
  </si>
  <si>
    <t>1-86239-030-4</t>
  </si>
  <si>
    <t>978-1-86239-030-0</t>
  </si>
  <si>
    <t>SP152</t>
  </si>
  <si>
    <t>Biostratigraphy in Production and Development Geology</t>
  </si>
  <si>
    <t>1-86239-031-2</t>
  </si>
  <si>
    <t>978-1-86239-031-7</t>
  </si>
  <si>
    <t>SP151</t>
  </si>
  <si>
    <t>Palaeomagmatism &amp; Diagenesis in Sediments</t>
  </si>
  <si>
    <t>1-86239-028-2</t>
  </si>
  <si>
    <t>978-1-86239-028-7</t>
  </si>
  <si>
    <t>SP150</t>
  </si>
  <si>
    <t>James Hutton: Present and Future</t>
  </si>
  <si>
    <t>1-86239-026-6</t>
  </si>
  <si>
    <t>978-1-86239-026-3</t>
  </si>
  <si>
    <t>SP149</t>
  </si>
  <si>
    <t>Carbonate Ramps</t>
  </si>
  <si>
    <t>1-86239-025-8</t>
  </si>
  <si>
    <t>978-1-86239-025-6</t>
  </si>
  <si>
    <t>SP146</t>
  </si>
  <si>
    <t>Coastal Tectonics</t>
  </si>
  <si>
    <t>1-86239-024-X</t>
  </si>
  <si>
    <t>978-1-86239-024-9</t>
  </si>
  <si>
    <t>MPB44</t>
  </si>
  <si>
    <t>Petroleum Geology of Northwest Europe, Proceedings of the 5th conference (Published on behalf of Petroleum Geology Conferences Ltd)</t>
  </si>
  <si>
    <t>1-86239-039-8</t>
  </si>
  <si>
    <t>978-1-86239-039-3</t>
  </si>
  <si>
    <t>M0019</t>
  </si>
  <si>
    <t>Santorini Volcano</t>
  </si>
  <si>
    <t>1-86239-048-7</t>
  </si>
  <si>
    <t>978-1-86239-048-5</t>
  </si>
  <si>
    <t>M0018</t>
  </si>
  <si>
    <t>A Reassessment of the Southern Ocean Biochronology</t>
  </si>
  <si>
    <t>1-86239-027-4</t>
  </si>
  <si>
    <t>978-1-86239-027-0</t>
  </si>
  <si>
    <t>MPB39</t>
  </si>
  <si>
    <t>Issues in Environmental Geology: a British perspective</t>
  </si>
  <si>
    <t>1-86239-014-2</t>
  </si>
  <si>
    <t>978-1-86239-014-0</t>
  </si>
  <si>
    <t>MPB36</t>
  </si>
  <si>
    <t>Coastal Defence and Earth Science Conservation</t>
  </si>
  <si>
    <t>1-897799-96-9</t>
  </si>
  <si>
    <t>978-1-897799-96-3</t>
  </si>
  <si>
    <t>SPE15</t>
  </si>
  <si>
    <t xml:space="preserve">Geohazards in Engineering Geology </t>
  </si>
  <si>
    <t>1-86239-012-6</t>
  </si>
  <si>
    <t>978-1-86239-012-6</t>
  </si>
  <si>
    <t>SPE14</t>
  </si>
  <si>
    <t>Contaminated Land and Groundwater: Future Directions</t>
  </si>
  <si>
    <t>1-86239-001-0</t>
  </si>
  <si>
    <t>978-1-86239-001-0</t>
  </si>
  <si>
    <t>SPE13</t>
  </si>
  <si>
    <t>Advances in Aggregates and Armourstone Evaluation</t>
  </si>
  <si>
    <t>1-86239-000-2</t>
  </si>
  <si>
    <t>978-1-86239-000-3</t>
  </si>
  <si>
    <t>SP148</t>
  </si>
  <si>
    <t>Modern Ocean Floor Processes and the Geological Record</t>
  </si>
  <si>
    <t>1-86239-023-1</t>
  </si>
  <si>
    <t>978-1-86239-023-2</t>
  </si>
  <si>
    <t>SP147</t>
  </si>
  <si>
    <t>Faulting, Fault Sealing and Fluid Flow in Hydrocarbon Reservoirs</t>
  </si>
  <si>
    <t>1-86239-022-3</t>
  </si>
  <si>
    <t>978-1-86239-022-5</t>
  </si>
  <si>
    <t>SP144</t>
  </si>
  <si>
    <t>Dating and Duration Fluid Flow and Fluid-Rocks Interaction</t>
  </si>
  <si>
    <t>1-86239-019-3</t>
  </si>
  <si>
    <t>978-1-86239-019-5</t>
  </si>
  <si>
    <t>SP143</t>
  </si>
  <si>
    <t>Lyell: The Past is the Key to the Present</t>
  </si>
  <si>
    <t>1-86239-018-5</t>
  </si>
  <si>
    <t>978-1-86239-018-8</t>
  </si>
  <si>
    <t>SP142</t>
  </si>
  <si>
    <t>The Proto-Andean Margin of Gondwana</t>
  </si>
  <si>
    <t>1-86239-021-5</t>
  </si>
  <si>
    <t>978-1-86239-021-8</t>
  </si>
  <si>
    <t>SP141</t>
  </si>
  <si>
    <t>Basin Modelling: Practice and Progress</t>
  </si>
  <si>
    <t>1-86239-008-8</t>
  </si>
  <si>
    <t>978-1-86239-008-9</t>
  </si>
  <si>
    <t>SP140</t>
  </si>
  <si>
    <t>Meteorites - Flux with Time and Impact Effects</t>
  </si>
  <si>
    <t>1-86239-017-7</t>
  </si>
  <si>
    <t>978-1-86239-017-1</t>
  </si>
  <si>
    <t>SP139</t>
  </si>
  <si>
    <t>Sediment Processes in the Intertidal Zone</t>
  </si>
  <si>
    <t>1-86239-013-4</t>
  </si>
  <si>
    <t>978-1-86239-013-3</t>
  </si>
  <si>
    <t>SP138</t>
  </si>
  <si>
    <t>What Drives Metamorphism and Metamorphic Reactions?</t>
  </si>
  <si>
    <t>1-86239-009-6</t>
  </si>
  <si>
    <t>978-1-86239-009-6</t>
  </si>
  <si>
    <t>SP137</t>
  </si>
  <si>
    <t>Gas Hydrates Relevance to world margin stability and climatic change</t>
  </si>
  <si>
    <t>1-86239-010-X</t>
  </si>
  <si>
    <t>978-1-86239-010-2</t>
  </si>
  <si>
    <t>SP136</t>
  </si>
  <si>
    <t>Core-Log Integration</t>
  </si>
  <si>
    <t>1-86239-016-9</t>
  </si>
  <si>
    <t>978-1-86239-016-4</t>
  </si>
  <si>
    <t>SP135</t>
  </si>
  <si>
    <t>Continental Transpressional and Transtensional Tectonics</t>
  </si>
  <si>
    <t>1-86239-007-X</t>
  </si>
  <si>
    <t>978-1-86239-007-2</t>
  </si>
  <si>
    <t>SP134</t>
  </si>
  <si>
    <t>Cenozoic Foreland Basins Western Europe</t>
  </si>
  <si>
    <t>1-86239-015-0</t>
  </si>
  <si>
    <t>978-1-86239-015-7</t>
  </si>
  <si>
    <t>SP133</t>
  </si>
  <si>
    <t>Development, Evolution and Petroleum Geology of the Wessex Basin</t>
  </si>
  <si>
    <t>1-897799-99-3</t>
  </si>
  <si>
    <t>978-1-897799-99-4</t>
  </si>
  <si>
    <t>SP132</t>
  </si>
  <si>
    <t xml:space="preserve">Petroleum Geology of North Africa </t>
  </si>
  <si>
    <t>1-86239-004-5</t>
  </si>
  <si>
    <t>978-1-86239-004-1</t>
  </si>
  <si>
    <t>SP131</t>
  </si>
  <si>
    <t>Geological Evolution of Ocean Basins: Results from the Ocean Drilling Program</t>
  </si>
  <si>
    <t>1-86239-003-7</t>
  </si>
  <si>
    <t>978-1-86239-003-4</t>
  </si>
  <si>
    <t>SP130</t>
  </si>
  <si>
    <t>Groundwater Pollution, Acquifer Recharge and Vulnerability</t>
  </si>
  <si>
    <t>1-897799-98-5</t>
  </si>
  <si>
    <t>978-1-897799-98-7</t>
  </si>
  <si>
    <t>SP129</t>
  </si>
  <si>
    <t>Geological Processes on Continental Margins: Sedimentation, Mass-Wasting and Stability</t>
  </si>
  <si>
    <t>1-897799-97-7</t>
  </si>
  <si>
    <t>978-1-897799-97-0</t>
  </si>
  <si>
    <t>SP128</t>
  </si>
  <si>
    <t>Groundwater Contaminants and their Migration</t>
  </si>
  <si>
    <t>1-897799-95-0</t>
  </si>
  <si>
    <t>978-1-897799-95-6</t>
  </si>
  <si>
    <t>SP127</t>
  </si>
  <si>
    <t>Structural Geology in Reservoir Characterization</t>
  </si>
  <si>
    <t>1-897799-94-2</t>
  </si>
  <si>
    <t>978-1-897799-94-9</t>
  </si>
  <si>
    <t>RFM2B</t>
  </si>
  <si>
    <t>Double-Chain Silicates - Volume 2B (2nd edition)</t>
  </si>
  <si>
    <t>1-897799-77-2</t>
  </si>
  <si>
    <t>978-1-897799-77-2</t>
  </si>
  <si>
    <t>PHTRS</t>
  </si>
  <si>
    <t>Tropical Residual Soils (hardback)</t>
  </si>
  <si>
    <t>1-897799-38-1</t>
  </si>
  <si>
    <t>978-1-897799-38-3</t>
  </si>
  <si>
    <t>MPB35</t>
  </si>
  <si>
    <t>Cores from the North-West European Hydrocarbon Province</t>
  </si>
  <si>
    <t>1-86239-002-9</t>
  </si>
  <si>
    <t>978-1-86239-002-7</t>
  </si>
  <si>
    <t>MPB33</t>
  </si>
  <si>
    <t xml:space="preserve">The Value and Valuation of Natural Science Collections </t>
  </si>
  <si>
    <t>1-897799-76-4</t>
  </si>
  <si>
    <t>978-1-897799-76-5</t>
  </si>
  <si>
    <t>SPE12</t>
  </si>
  <si>
    <t>Modern Geophysics in Engineering Geology</t>
  </si>
  <si>
    <t>1-897799-92-6</t>
  </si>
  <si>
    <t>978-1-897799-92-5</t>
  </si>
  <si>
    <t>SP126</t>
  </si>
  <si>
    <t>Petroleum Geology of Southeast Asia</t>
  </si>
  <si>
    <t>1-897799-91-8</t>
  </si>
  <si>
    <t>978-1-897799-91-8</t>
  </si>
  <si>
    <t>SP125</t>
  </si>
  <si>
    <t>European Coal Geology and Technology</t>
  </si>
  <si>
    <t>1-897799-86-1</t>
  </si>
  <si>
    <t>978-1-897799-86-4</t>
  </si>
  <si>
    <t>SP124</t>
  </si>
  <si>
    <t>Petroleum Geology of the Irish Sea and Adjacent Areas</t>
  </si>
  <si>
    <t>1-897799-84-5</t>
  </si>
  <si>
    <t>978-1-897799-84-0</t>
  </si>
  <si>
    <t>SP123</t>
  </si>
  <si>
    <t>Petroleum Geology of the Southern North Sea: Future Potential</t>
  </si>
  <si>
    <t>1-897799-82-9</t>
  </si>
  <si>
    <t>978-1-897799-82-6</t>
  </si>
  <si>
    <t>SP122</t>
  </si>
  <si>
    <t>Developments In Petrophysics</t>
  </si>
  <si>
    <t>1-897799-81-0</t>
  </si>
  <si>
    <t>978-1-897799-81-9</t>
  </si>
  <si>
    <t>SP121</t>
  </si>
  <si>
    <t>Orogeny Through Time</t>
  </si>
  <si>
    <t>1-897799-75-6</t>
  </si>
  <si>
    <t>978-1-897799-75-8</t>
  </si>
  <si>
    <t>SP120</t>
  </si>
  <si>
    <t>Palaeosurfaces: Recognition, Reconstruction and Palaeoenvironmental Interpretation</t>
  </si>
  <si>
    <t>1-897799-57-8</t>
  </si>
  <si>
    <t>978-1-897799-57-4</t>
  </si>
  <si>
    <t>M0017</t>
  </si>
  <si>
    <t xml:space="preserve">The Geology of Svalbard </t>
  </si>
  <si>
    <t>1-897799-93-4</t>
  </si>
  <si>
    <t>978-1-897799-93-2</t>
  </si>
  <si>
    <t>RFM5B</t>
  </si>
  <si>
    <t>Non-Silicates, Sulphates, Carbonates, Phosphates and Halides  - Volume 5B (2nd edition)</t>
  </si>
  <si>
    <t>1-897799-90-X</t>
  </si>
  <si>
    <t>978-1-897799-90-1</t>
  </si>
  <si>
    <t>MPB29</t>
  </si>
  <si>
    <t>Oil and Gas in Alpidic Thrustbelts and Basins of Central and Eastern Europe</t>
  </si>
  <si>
    <t>1-897799-73-X</t>
  </si>
  <si>
    <t>978-1-897799-73-4</t>
  </si>
  <si>
    <t>MPB28</t>
  </si>
  <si>
    <t>Northwest Europe's Hydrocarbon Industry (AD1995)</t>
  </si>
  <si>
    <t>1-897799-79-9</t>
  </si>
  <si>
    <t>978-1-897799-79-6</t>
  </si>
  <si>
    <t>MPB27</t>
  </si>
  <si>
    <t>Geology on Your Doorstep</t>
  </si>
  <si>
    <t>1-897799-54-3</t>
  </si>
  <si>
    <t>978-1-897799-54-3</t>
  </si>
  <si>
    <t>SPE11</t>
  </si>
  <si>
    <t xml:space="preserve">Engineering Geology of Waste Disposal </t>
  </si>
  <si>
    <t>1-897799-46-2</t>
  </si>
  <si>
    <t>978-1-897799-46-8</t>
  </si>
  <si>
    <t>SP119</t>
  </si>
  <si>
    <t>Manganese Mineralization: Geochemistry and Mineralogy of Terrestrial and Marine Deposits</t>
  </si>
  <si>
    <t>1-897799-74-8</t>
  </si>
  <si>
    <t>978-1-897799-74-1</t>
  </si>
  <si>
    <t>SP118</t>
  </si>
  <si>
    <t>Tectonic, Magmatic, Hydrothermal, and Biological Segmentation of Mid-Ocean Ridges</t>
  </si>
  <si>
    <t>1-897799-72-1</t>
  </si>
  <si>
    <t>978-1-897799-72-7</t>
  </si>
  <si>
    <t>SP117</t>
  </si>
  <si>
    <t>Geology of Siliciclastic Shelf Seas</t>
  </si>
  <si>
    <t>1-897799-71-3</t>
  </si>
  <si>
    <t>978-1-897799-71-0</t>
  </si>
  <si>
    <t>SP116</t>
  </si>
  <si>
    <t>Palaeoclimatology and Palaeoceanography from Laminated Sediments</t>
  </si>
  <si>
    <t>1-897799-67-5</t>
  </si>
  <si>
    <t>978-1-897799-67-3</t>
  </si>
  <si>
    <t>SP115</t>
  </si>
  <si>
    <t>Global Continental Changes: the context of Palaeohydrology</t>
  </si>
  <si>
    <t>1-897799-69-1</t>
  </si>
  <si>
    <t>978-1-897799-69-7</t>
  </si>
  <si>
    <t>SP114</t>
  </si>
  <si>
    <t>Geology of The Humber Group: Central Graben and Moray Firth, UKCS</t>
  </si>
  <si>
    <t>1-897799-70-5</t>
  </si>
  <si>
    <t>978-1-897799-70-3</t>
  </si>
  <si>
    <t>SP113</t>
  </si>
  <si>
    <t>Environmental Geochemistry and Health</t>
  </si>
  <si>
    <t>1-897799-64-0</t>
  </si>
  <si>
    <t>978-1-897799-64-2</t>
  </si>
  <si>
    <t>SP112</t>
  </si>
  <si>
    <t>Precambrian Crustal Evolution in the North Atlantic Region</t>
  </si>
  <si>
    <t>1-897799-62-4</t>
  </si>
  <si>
    <t>978-1-897799-62-8</t>
  </si>
  <si>
    <t>SP111</t>
  </si>
  <si>
    <t>Late Quaternary Palaeoceanography of the North Atlantic Margins</t>
  </si>
  <si>
    <t>1-897799-61-6</t>
  </si>
  <si>
    <t>978-1-897799-61-1</t>
  </si>
  <si>
    <t>SP110</t>
  </si>
  <si>
    <t>Volcano Instability on the Earth and Other Planets</t>
  </si>
  <si>
    <t>1-897799-60-8</t>
  </si>
  <si>
    <t>978-1-897799-60-4</t>
  </si>
  <si>
    <t>SP109</t>
  </si>
  <si>
    <t>Coalbed Methane and Coal Geology</t>
  </si>
  <si>
    <t>1-897799-56-X</t>
  </si>
  <si>
    <t>978-1-897799-56-7</t>
  </si>
  <si>
    <t>SP108</t>
  </si>
  <si>
    <t>Weddell Sea Tectonics and Gondwana Break-up</t>
  </si>
  <si>
    <t>1-897799-59-4</t>
  </si>
  <si>
    <t>978-1-897799-59-8</t>
  </si>
  <si>
    <t>SP107</t>
  </si>
  <si>
    <t>Recent Advances in Lower Carboniferous Geology</t>
  </si>
  <si>
    <t>1-897799-58-6</t>
  </si>
  <si>
    <t>978-1-897799-58-1</t>
  </si>
  <si>
    <t>SP106</t>
  </si>
  <si>
    <t>Tectonic Evolution of Southeast Asia</t>
  </si>
  <si>
    <t>1-897799-52-7</t>
  </si>
  <si>
    <t>978-1-897799-52-9</t>
  </si>
  <si>
    <t>SP105</t>
  </si>
  <si>
    <t>Palaeomagnetism and Tectonics of the Mediterranean Region</t>
  </si>
  <si>
    <t>1-897799-55-1</t>
  </si>
  <si>
    <t>978-1-897799-55-0</t>
  </si>
  <si>
    <t>SP104</t>
  </si>
  <si>
    <t>High Resolution Sequence Stratigraphy: Innovations and Applications</t>
  </si>
  <si>
    <t>1-897799-48-9</t>
  </si>
  <si>
    <t>978-1-897799-48-2</t>
  </si>
  <si>
    <t>SP103</t>
  </si>
  <si>
    <t>Sequence Stratigraphy In British Geology</t>
  </si>
  <si>
    <t>1-897799-49-7</t>
  </si>
  <si>
    <t>978-1-897799-49-9</t>
  </si>
  <si>
    <t>SP102</t>
  </si>
  <si>
    <t>Biotic Recovery From Mass Extinction Events</t>
  </si>
  <si>
    <t>1-897799-45-4</t>
  </si>
  <si>
    <t>978-1-897799-45-1</t>
  </si>
  <si>
    <t>SP101</t>
  </si>
  <si>
    <t>Correlation of the Early Palaeogene In Northwest Europe</t>
  </si>
  <si>
    <t>1-897799-47-0</t>
  </si>
  <si>
    <t>978-1-897799-47-5</t>
  </si>
  <si>
    <t>SP100</t>
  </si>
  <si>
    <t>Salt Tectonics</t>
  </si>
  <si>
    <t>1-897799-44-6</t>
  </si>
  <si>
    <t>978-1-897799-44-4</t>
  </si>
  <si>
    <t>1-100</t>
  </si>
  <si>
    <t>SP099</t>
  </si>
  <si>
    <t xml:space="preserve">Modern Developments In Structural Interpretation, Validation and Modelling </t>
  </si>
  <si>
    <t>1-897799-43-8</t>
  </si>
  <si>
    <t>978-1-897799-43-7</t>
  </si>
  <si>
    <t>SP017</t>
  </si>
  <si>
    <t>The Geological Evolution of the Eastern Mediterranean</t>
  </si>
  <si>
    <t>1-897799-66-7</t>
  </si>
  <si>
    <t>978-1-897799-66-6</t>
  </si>
  <si>
    <t>MPB21</t>
  </si>
  <si>
    <t>Field Geology of the British Jurassic</t>
  </si>
  <si>
    <t>1-897799-41-1</t>
  </si>
  <si>
    <t>978-1-897799-41-3</t>
  </si>
  <si>
    <t>MPB16</t>
  </si>
  <si>
    <t>Russian Style Formation Evaluation</t>
  </si>
  <si>
    <t>1-897799-20-9</t>
  </si>
  <si>
    <t>978-1-897799-20-8</t>
  </si>
  <si>
    <t>SPE10</t>
  </si>
  <si>
    <t>Engineering Geology of Construction</t>
  </si>
  <si>
    <t>1-897799-28-4</t>
  </si>
  <si>
    <t>978-1-897799-28-4</t>
  </si>
  <si>
    <t>SP145</t>
  </si>
  <si>
    <t xml:space="preserve">The Physics of Explosive Volcanic Eruptions </t>
  </si>
  <si>
    <t>1-86239-020-7</t>
  </si>
  <si>
    <t>978-1-86239-020-1</t>
  </si>
  <si>
    <t>SP098</t>
  </si>
  <si>
    <t xml:space="preserve">Palaeomagnetic Applications in Hydrocarbon Exploration and Production </t>
  </si>
  <si>
    <t>1-897799-42-X</t>
  </si>
  <si>
    <t>978-1-897799-42-0</t>
  </si>
  <si>
    <t>SP097</t>
  </si>
  <si>
    <t>Geological Data Management</t>
  </si>
  <si>
    <t>1-897799-39-X</t>
  </si>
  <si>
    <t>978-1-897799-39-0</t>
  </si>
  <si>
    <t>SP096</t>
  </si>
  <si>
    <t xml:space="preserve">Island Britain: a Quaternary Perspective </t>
  </si>
  <si>
    <t>1-897799-40-3</t>
  </si>
  <si>
    <t>978-1-897799-40-6</t>
  </si>
  <si>
    <t>SP095</t>
  </si>
  <si>
    <t>Early Precambrian Processes</t>
  </si>
  <si>
    <t>1-897799-36-5</t>
  </si>
  <si>
    <t>978-1-897799-36-9</t>
  </si>
  <si>
    <t>SP094</t>
  </si>
  <si>
    <t>Characterization of Deep Marine Clastic Systems</t>
  </si>
  <si>
    <t>1-897799-35-7</t>
  </si>
  <si>
    <t>978-1-897799-35-2</t>
  </si>
  <si>
    <t>SP093</t>
  </si>
  <si>
    <t>The Petroleum Geology of Ireland's Offshore Basin</t>
  </si>
  <si>
    <t>1-897799-34-9</t>
  </si>
  <si>
    <t>978-1-897799-34-5</t>
  </si>
  <si>
    <t>SP092</t>
  </si>
  <si>
    <t xml:space="preserve">Fractography: Fracture Topography as a tool in fracture mechanics and stress analysis </t>
  </si>
  <si>
    <t>1-897799-32-2</t>
  </si>
  <si>
    <t>978-1-897799-32-1</t>
  </si>
  <si>
    <t>SP091</t>
  </si>
  <si>
    <t>Permian and Triassic Rifting in Northwest Europe</t>
  </si>
  <si>
    <t>1-897799-33-0</t>
  </si>
  <si>
    <t>978-1-897799-33-8</t>
  </si>
  <si>
    <t>SP090</t>
  </si>
  <si>
    <t>The Tectonics, Sedimentation and Palaeoceanography of the North Atlantic Region</t>
  </si>
  <si>
    <t>1-897799-27-6</t>
  </si>
  <si>
    <t>978-1-897799-27-7</t>
  </si>
  <si>
    <t>SP089</t>
  </si>
  <si>
    <t>Non-Biostratigraphical Methods of Dating and Correlation</t>
  </si>
  <si>
    <t>1-897799-30-6</t>
  </si>
  <si>
    <t>978-1-897799-30-7</t>
  </si>
  <si>
    <t>SP088</t>
  </si>
  <si>
    <t>Basin Inversion</t>
  </si>
  <si>
    <t>1-897799-29-2</t>
  </si>
  <si>
    <t>978-1-897799-29-1</t>
  </si>
  <si>
    <t>SP087</t>
  </si>
  <si>
    <t>Hydrothermal Vents and Processes</t>
  </si>
  <si>
    <t>1-897799-25-X</t>
  </si>
  <si>
    <t>978-1-897799-25-3</t>
  </si>
  <si>
    <t>SP086</t>
  </si>
  <si>
    <t>The Geochemistry of Reservoirs</t>
  </si>
  <si>
    <t>1-897799-26-8</t>
  </si>
  <si>
    <t>978-1-897799-26-0</t>
  </si>
  <si>
    <t>SP085</t>
  </si>
  <si>
    <t>Orbital Forcing Timescales and Cyclostratigraphy</t>
  </si>
  <si>
    <t>1-897799-23-3</t>
  </si>
  <si>
    <t>978-1-897799-23-9</t>
  </si>
  <si>
    <t>SP084</t>
  </si>
  <si>
    <t>New Development in Improved Oil Recovery</t>
  </si>
  <si>
    <t>1-897799-22-5</t>
  </si>
  <si>
    <t>978-1-897799-22-2</t>
  </si>
  <si>
    <t>SP082</t>
  </si>
  <si>
    <t>European Coal Geology</t>
  </si>
  <si>
    <t>1-897799-19-5</t>
  </si>
  <si>
    <t>978-1-897799-19-2</t>
  </si>
  <si>
    <t>SP080</t>
  </si>
  <si>
    <t>Hydrocarbon Habitat in Rift Basins</t>
  </si>
  <si>
    <t>1-897799-15-2</t>
  </si>
  <si>
    <t>978-1-897799-15-4</t>
  </si>
  <si>
    <t>M0016</t>
  </si>
  <si>
    <t>Milestones In Geology</t>
  </si>
  <si>
    <t>1-897799-24-1</t>
  </si>
  <si>
    <t>978-1-897799-24-6</t>
  </si>
  <si>
    <t>LSP83H</t>
  </si>
  <si>
    <t>Marine Palaeoenvironmental Analysis from Fossils (Hardback)</t>
  </si>
  <si>
    <t>1-897799-21-7</t>
  </si>
  <si>
    <t>978-1-897799-21-5</t>
  </si>
  <si>
    <t>SR022</t>
  </si>
  <si>
    <t>A Revised Correlation of Precambrian Rocks In The British Isles</t>
  </si>
  <si>
    <t>1-897799-11-X</t>
  </si>
  <si>
    <t>978-1-897799-11-6</t>
  </si>
  <si>
    <t>MPB30</t>
  </si>
  <si>
    <t>The Geology and Hydrogeology of the Sellafield Area</t>
  </si>
  <si>
    <t>1-897799-65-9</t>
  </si>
  <si>
    <t>978-1-897799-65-9</t>
  </si>
  <si>
    <t>MPB13</t>
  </si>
  <si>
    <t>Geological and Landscape Conservation</t>
  </si>
  <si>
    <t>1-897799-09-8</t>
  </si>
  <si>
    <t>978-1-897799-09-3</t>
  </si>
  <si>
    <t>SP081</t>
  </si>
  <si>
    <t xml:space="preserve">Volcanism Associated With Extension at Consuming Plate Margins </t>
  </si>
  <si>
    <t>1-897799-17-9</t>
  </si>
  <si>
    <t>978-1-897799-17-8</t>
  </si>
  <si>
    <t>SP079</t>
  </si>
  <si>
    <t xml:space="preserve">Mineral Resource Evaluation II: Methods and Case Histories </t>
  </si>
  <si>
    <t>1-897799-06-3</t>
  </si>
  <si>
    <t>978-1-897799-06-2</t>
  </si>
  <si>
    <t>SP078</t>
  </si>
  <si>
    <t>Geofluids: Origin, Migration and Evolution of Fluids in Sedimentary Basins</t>
  </si>
  <si>
    <t>1-897799-05-5</t>
  </si>
  <si>
    <t>978-1-897799-05-5</t>
  </si>
  <si>
    <t>SP077</t>
  </si>
  <si>
    <t xml:space="preserve">Coal &amp; Coal-Bearing Strata as Oil-prone Source Rocks? </t>
  </si>
  <si>
    <t>0-903317-99-0</t>
  </si>
  <si>
    <t>978-0-903317-99-3</t>
  </si>
  <si>
    <t>M0015</t>
  </si>
  <si>
    <t>North Sea Formation Waters Atlas</t>
  </si>
  <si>
    <t>1-897799-07-1</t>
  </si>
  <si>
    <t>978-1-897799-07-9</t>
  </si>
  <si>
    <t>SPE9H</t>
  </si>
  <si>
    <t>Aggregates: Sand, Gravel, and Crushed Rock Aggregates for Construction Purposes (2nd edition)</t>
  </si>
  <si>
    <t>0-903317-89-3</t>
  </si>
  <si>
    <t>978-0-903317-89-4</t>
  </si>
  <si>
    <r>
      <rPr>
        <b/>
        <i/>
        <sz val="8"/>
        <rFont val="Arial"/>
        <family val="2"/>
      </rPr>
      <t>Content not available on the Lyell Collection</t>
    </r>
    <r>
      <rPr>
        <sz val="8"/>
        <rFont val="Arial"/>
        <family val="2"/>
      </rPr>
      <t xml:space="preserve"> see SPE17 (3rd edition)</t>
    </r>
  </si>
  <si>
    <t>#8 Engineering Geology of Weak Rock</t>
  </si>
  <si>
    <r>
      <rPr>
        <b/>
        <i/>
        <sz val="8"/>
        <rFont val="Arial"/>
        <family val="2"/>
      </rPr>
      <t xml:space="preserve">Content not available on the Lyell Collection. </t>
    </r>
    <r>
      <rPr>
        <sz val="8"/>
        <rFont val="Arial"/>
        <family val="2"/>
      </rPr>
      <t>Published by AA Balkema, Netherlands.</t>
    </r>
  </si>
  <si>
    <t>SP076</t>
  </si>
  <si>
    <t>Magmatic Processes and Plate Tectonics</t>
  </si>
  <si>
    <t>0-903317-94-X</t>
  </si>
  <si>
    <t>978-0-903317-94-8</t>
  </si>
  <si>
    <t>SP075</t>
  </si>
  <si>
    <t xml:space="preserve">Braided Rivers </t>
  </si>
  <si>
    <t>0-903317-93-1</t>
  </si>
  <si>
    <t>978-0-903317-93-1</t>
  </si>
  <si>
    <t>SP074</t>
  </si>
  <si>
    <t>Himalayan Tectonics</t>
  </si>
  <si>
    <t>0-903317-92-3</t>
  </si>
  <si>
    <t>978-0-903317-92-4</t>
  </si>
  <si>
    <t>SP073</t>
  </si>
  <si>
    <t>Characterization of Fluvial &amp; Aeolian Reservoirs</t>
  </si>
  <si>
    <t>0-903317-90-7</t>
  </si>
  <si>
    <t>978-0-903317-90-0</t>
  </si>
  <si>
    <t>SP072</t>
  </si>
  <si>
    <t>Dynamics and Environmental Context of Aeolian Sedimentary Systems</t>
  </si>
  <si>
    <t>0-903317-88-5</t>
  </si>
  <si>
    <t>978-0-903317-88-7</t>
  </si>
  <si>
    <t>SP071</t>
  </si>
  <si>
    <t xml:space="preserve">Tectonics and Seismic Sequence Stratigraphy </t>
  </si>
  <si>
    <t>0-903317-87-7</t>
  </si>
  <si>
    <t>978-0-903317-87-0</t>
  </si>
  <si>
    <t>SP070</t>
  </si>
  <si>
    <t>High Resolution Stratigraphy</t>
  </si>
  <si>
    <t>0-903317-86-9</t>
  </si>
  <si>
    <t>978-0-903317-86-3</t>
  </si>
  <si>
    <t>MPB08</t>
  </si>
  <si>
    <t>Petroleum Geology of Northwest Europe, Proceedings of the 4th Conference (Published on behalf of Petroleum Geology Conferences Ltd)</t>
  </si>
  <si>
    <t>0-903317-85-0</t>
  </si>
  <si>
    <t>978-0-903317-85-6</t>
  </si>
  <si>
    <t>SR021</t>
  </si>
  <si>
    <t>A Revised Correlation of Silurian Rocks In The British Isles</t>
  </si>
  <si>
    <t>0-903317-75-3</t>
  </si>
  <si>
    <t>978-0-903317-75-7</t>
  </si>
  <si>
    <t>3PBK</t>
  </si>
  <si>
    <t>Geology of England and Wales, 1st edition (Paperback)</t>
  </si>
  <si>
    <t>0-903317-71-0</t>
  </si>
  <si>
    <t>978-0-903317-71-9</t>
  </si>
  <si>
    <t>3HBK</t>
  </si>
  <si>
    <t>Geology of England and Wales, 1st edition (Hardback)</t>
  </si>
  <si>
    <t>0-903317-70-2</t>
  </si>
  <si>
    <t>978-0-903317-70-2</t>
  </si>
  <si>
    <t>SP069</t>
  </si>
  <si>
    <t xml:space="preserve">Advances In Reservoir Geology </t>
  </si>
  <si>
    <t>0-903317-84-2</t>
  </si>
  <si>
    <t>978-0-903317-84-9</t>
  </si>
  <si>
    <t>SP068</t>
  </si>
  <si>
    <t xml:space="preserve">Magmatism and the Causes of Continent Break-up </t>
  </si>
  <si>
    <t>0-903317-83-4</t>
  </si>
  <si>
    <t>978-0-903317-83-2</t>
  </si>
  <si>
    <t>SP067</t>
  </si>
  <si>
    <t>Exploration Britain</t>
  </si>
  <si>
    <t>0-903317-82-6</t>
  </si>
  <si>
    <t>978-0-903317-82-5</t>
  </si>
  <si>
    <t>SP066</t>
  </si>
  <si>
    <t>The Hydrogeology of Crystalline Basement Aquifers in Africa</t>
  </si>
  <si>
    <t>0-903317-77-X</t>
  </si>
  <si>
    <t>978-0-903317-77-1</t>
  </si>
  <si>
    <t>SP065</t>
  </si>
  <si>
    <t xml:space="preserve">Geological Applications Wireline Logs II </t>
  </si>
  <si>
    <t>0-903317-80-X</t>
  </si>
  <si>
    <t>978-0-903317-80-1</t>
  </si>
  <si>
    <t>SP064</t>
  </si>
  <si>
    <t xml:space="preserve">Upwelling Systems: Evolution Since the Early Miocene </t>
  </si>
  <si>
    <t>0-903317-78-8</t>
  </si>
  <si>
    <t>978-0-903317-78-8</t>
  </si>
  <si>
    <t>SP063</t>
  </si>
  <si>
    <t xml:space="preserve">Case Histories and Methods In Mineral Resource Evaluation  </t>
  </si>
  <si>
    <t>0-903317-79-6</t>
  </si>
  <si>
    <t>978-0-903317-79-5</t>
  </si>
  <si>
    <t>SP062</t>
  </si>
  <si>
    <t>Basins On The Atlantic Seaboard: Petroleum Geology, Sedimentology and Basin Evolution</t>
  </si>
  <si>
    <t>0-903317-76-1</t>
  </si>
  <si>
    <t>978-0-903317-76-4</t>
  </si>
  <si>
    <t>SP061</t>
  </si>
  <si>
    <t>Geology of the Brent Group</t>
  </si>
  <si>
    <t>0-903317-68-0</t>
  </si>
  <si>
    <t>978-0-903317-68-9</t>
  </si>
  <si>
    <t>SP060</t>
  </si>
  <si>
    <t>Ophiolites and Their Modern Oceanic Analogues</t>
  </si>
  <si>
    <t>0-903317-69-9</t>
  </si>
  <si>
    <t>978-0-903317-69-6</t>
  </si>
  <si>
    <t>SP049</t>
  </si>
  <si>
    <t xml:space="preserve">The Geology and Tectonics of The Oman Region </t>
  </si>
  <si>
    <t>0-903317-46-X</t>
  </si>
  <si>
    <t>978-0-903317-46-7</t>
  </si>
  <si>
    <t>M013R</t>
  </si>
  <si>
    <t>Atlas of Palaeogeography &amp; Lithofacies (A4 edition)</t>
  </si>
  <si>
    <t>1-86239-055-X</t>
  </si>
  <si>
    <t>978-1-86239-055-3</t>
  </si>
  <si>
    <t>M0014</t>
  </si>
  <si>
    <t>UK Oil And Gas Fields, 25 Years Commemorative Volume</t>
  </si>
  <si>
    <t>0-903317-62-1</t>
  </si>
  <si>
    <t>978-0-903317-62-7</t>
  </si>
  <si>
    <t>SR020</t>
  </si>
  <si>
    <t>Guide To Stratigraphical Procedure</t>
  </si>
  <si>
    <t>0-903317-74-5</t>
  </si>
  <si>
    <t>978-0-903317-74-0</t>
  </si>
  <si>
    <t>2PBK</t>
  </si>
  <si>
    <t>Geology of Scotland, 3rd edition (Paperback)</t>
  </si>
  <si>
    <t>0-903317-64-8</t>
  </si>
  <si>
    <t>978-0-903317-64-1</t>
  </si>
  <si>
    <t>2HBK</t>
  </si>
  <si>
    <t>Geology of Scotland, 3rd edition (Hardback)</t>
  </si>
  <si>
    <t>0-903317-63-X</t>
  </si>
  <si>
    <t>978-0-903317-63-4</t>
  </si>
  <si>
    <t>SPE7H</t>
  </si>
  <si>
    <t>Quaternary Engineering Geology</t>
  </si>
  <si>
    <t>0-903317-57-5</t>
  </si>
  <si>
    <t>978-0-903317-57-3</t>
  </si>
  <si>
    <t>SP059</t>
  </si>
  <si>
    <t xml:space="preserve">Petroleum Migration </t>
  </si>
  <si>
    <t>0-903317-66-4</t>
  </si>
  <si>
    <t>978-0-903317-66-5</t>
  </si>
  <si>
    <t>SP058</t>
  </si>
  <si>
    <t xml:space="preserve">Modern and Ancient Continental Shelf Anoxia </t>
  </si>
  <si>
    <t>0-903317-67-2</t>
  </si>
  <si>
    <t>978-0-903317-67-2</t>
  </si>
  <si>
    <t>SP057</t>
  </si>
  <si>
    <t xml:space="preserve">Developments in Sedimentary Provenance Studies </t>
  </si>
  <si>
    <t>0-903317-56-7</t>
  </si>
  <si>
    <t>978-0-903317-56-6</t>
  </si>
  <si>
    <t>SP056</t>
  </si>
  <si>
    <t>Geometry of Normal Faults</t>
  </si>
  <si>
    <t>0-903317-59-1</t>
  </si>
  <si>
    <t>978-0-903317-59-7</t>
  </si>
  <si>
    <t>M0013</t>
  </si>
  <si>
    <t>Atlas of Palaeogeography &amp; Lithofacies</t>
  </si>
  <si>
    <t>0-903317-65-6</t>
  </si>
  <si>
    <t>978-0-903317-65-8</t>
  </si>
  <si>
    <t>SPE6H</t>
  </si>
  <si>
    <t>Field Testing in Engineering Geology</t>
  </si>
  <si>
    <t>0-903317-51-6</t>
  </si>
  <si>
    <t>978-0-903317-51-1</t>
  </si>
  <si>
    <t>SP055</t>
  </si>
  <si>
    <t xml:space="preserve">Tectonic Events Responsible for Britain's Oil and Gas Reserves </t>
  </si>
  <si>
    <t>0-903317-55-9</t>
  </si>
  <si>
    <t>978-0-903317-55-9</t>
  </si>
  <si>
    <t>SP054</t>
  </si>
  <si>
    <t xml:space="preserve">Deformation Mechanisms, Rheology and Tectonics </t>
  </si>
  <si>
    <t>0-903317-58-3</t>
  </si>
  <si>
    <t>978-0-903317-58-0</t>
  </si>
  <si>
    <t>SP053</t>
  </si>
  <si>
    <t>Glacimarine Environments: Processes and Sediments</t>
  </si>
  <si>
    <t>0-903317-54-0</t>
  </si>
  <si>
    <t>978-0-903317-54-2</t>
  </si>
  <si>
    <t>SP052</t>
  </si>
  <si>
    <t xml:space="preserve">Phosphorite Research and Development </t>
  </si>
  <si>
    <t>0-903317-53-2</t>
  </si>
  <si>
    <t>978-0-903317-53-5</t>
  </si>
  <si>
    <t>SP051</t>
  </si>
  <si>
    <t>The Cadomian Orogeny</t>
  </si>
  <si>
    <t>0-903317-47-8</t>
  </si>
  <si>
    <t>978-0-903317-47-4</t>
  </si>
  <si>
    <t>SP050</t>
  </si>
  <si>
    <t>Classic Petroleum Provinces</t>
  </si>
  <si>
    <t>0-903317-48-6</t>
  </si>
  <si>
    <t>978-0-903317-48-1</t>
  </si>
  <si>
    <t>SP048</t>
  </si>
  <si>
    <t>Geological Applications of Wireline Logs</t>
  </si>
  <si>
    <t>0-903317-45-1</t>
  </si>
  <si>
    <t>978-0-903317-45-0</t>
  </si>
  <si>
    <t>M0012</t>
  </si>
  <si>
    <t>Palaeozoic Palaeogeography and Biogeography</t>
  </si>
  <si>
    <t>0-903317-49-4</t>
  </si>
  <si>
    <t>978-0-903317-49-8</t>
  </si>
  <si>
    <t>SR019</t>
  </si>
  <si>
    <t>Magnetostratigraphy</t>
  </si>
  <si>
    <t>0-632-02491-7</t>
  </si>
  <si>
    <t>978-0-632-02491-9</t>
  </si>
  <si>
    <t>SP047</t>
  </si>
  <si>
    <t>Origins and Evolution of the Antarctic Biota</t>
  </si>
  <si>
    <t>0-903317-44-3</t>
  </si>
  <si>
    <t>978-0-903317-44-3</t>
  </si>
  <si>
    <t>SP046</t>
  </si>
  <si>
    <t>Phanerozoic Ironstones</t>
  </si>
  <si>
    <t>0-903317-43-5</t>
  </si>
  <si>
    <t>978-0-903317-43-6</t>
  </si>
  <si>
    <t>SP045</t>
  </si>
  <si>
    <t xml:space="preserve">Alpine Tectonics </t>
  </si>
  <si>
    <t>0-632-02508-5</t>
  </si>
  <si>
    <t>978-0-632-02508-4</t>
  </si>
  <si>
    <t>SP044</t>
  </si>
  <si>
    <t xml:space="preserve">Inversion Tectonics </t>
  </si>
  <si>
    <t>0-632-02502-6</t>
  </si>
  <si>
    <t>978-0-632-02502-2</t>
  </si>
  <si>
    <t>SP043</t>
  </si>
  <si>
    <t xml:space="preserve">Evolution of Metamorphic Belts </t>
  </si>
  <si>
    <t>0-632-02503-4</t>
  </si>
  <si>
    <t>978-0-632-02503-9</t>
  </si>
  <si>
    <t>SP042</t>
  </si>
  <si>
    <t xml:space="preserve">Magmatism in the Ocean Basins </t>
  </si>
  <si>
    <t>0-632-02384-8</t>
  </si>
  <si>
    <t>978-0-632-02384-4</t>
  </si>
  <si>
    <t>SP041</t>
  </si>
  <si>
    <t xml:space="preserve">Deltas: Sites and Traps Fossil Fuel </t>
  </si>
  <si>
    <t>0-632-02385-6</t>
  </si>
  <si>
    <t>978-0-632-02385-1</t>
  </si>
  <si>
    <t>SPE5H</t>
  </si>
  <si>
    <t>Engineering Geology of Underground Movements</t>
  </si>
  <si>
    <t>0-903317-41-9</t>
  </si>
  <si>
    <t>978-0-903317-41-2</t>
  </si>
  <si>
    <t>SP040</t>
  </si>
  <si>
    <t>Lacustrine Petroleum Source Rocks</t>
  </si>
  <si>
    <t>0-632-01803-8</t>
  </si>
  <si>
    <t>978-0-632-01803-1</t>
  </si>
  <si>
    <t>SP039</t>
  </si>
  <si>
    <t xml:space="preserve">Early Tertiary Volcanism and the Opening of the NE Atlantic </t>
  </si>
  <si>
    <t>0-632-02171-3</t>
  </si>
  <si>
    <t>978-0-632-02171-0</t>
  </si>
  <si>
    <t>SP038</t>
  </si>
  <si>
    <t xml:space="preserve">The Caledonian-Appalachian Orogen </t>
  </si>
  <si>
    <t>0-632-01796-1</t>
  </si>
  <si>
    <t>978-0-632-01796-6</t>
  </si>
  <si>
    <t>SP037</t>
  </si>
  <si>
    <t>Gondwana and Tethys</t>
  </si>
  <si>
    <t>0-19-854448-0</t>
  </si>
  <si>
    <t>978-0-19-854448-7</t>
  </si>
  <si>
    <t>SPE4H</t>
  </si>
  <si>
    <t>Planning and Engineering Geology</t>
  </si>
  <si>
    <t>0-903317-38-9</t>
  </si>
  <si>
    <t>978-0-903317-38-2</t>
  </si>
  <si>
    <t>SP036</t>
  </si>
  <si>
    <t xml:space="preserve">Diagenesis of Sedimentary Sequences  </t>
  </si>
  <si>
    <t>0-632-01939-5</t>
  </si>
  <si>
    <t>978-0-632-01939-7</t>
  </si>
  <si>
    <t>SP035</t>
  </si>
  <si>
    <t xml:space="preserve">Desert Sediments: Ancient and Modern </t>
  </si>
  <si>
    <t>0-632-01905-0</t>
  </si>
  <si>
    <t>978-0-632-01905-2</t>
  </si>
  <si>
    <t>SP034</t>
  </si>
  <si>
    <t xml:space="preserve">Fluid Flow In Sedimentary Basins and Aquifers </t>
  </si>
  <si>
    <t>0-632-01804-6</t>
  </si>
  <si>
    <t>978-0-632-01804-8</t>
  </si>
  <si>
    <t>SP033</t>
  </si>
  <si>
    <t xml:space="preserve">Geochemistry and Mineralization of Proterozoic Volcanic Suites </t>
  </si>
  <si>
    <t>0-632-01806-2</t>
  </si>
  <si>
    <t>978-0-632-01806-2</t>
  </si>
  <si>
    <t>SP032</t>
  </si>
  <si>
    <t>Coal and Coal-bearing Strata: Recent Advances</t>
  </si>
  <si>
    <t>0-632-01906-9</t>
  </si>
  <si>
    <t>978-0-632-01906-9</t>
  </si>
  <si>
    <t>SP031</t>
  </si>
  <si>
    <t>Geology and Geochemistry of Abyssal Plains</t>
  </si>
  <si>
    <t>0-632-01744-9</t>
  </si>
  <si>
    <t>978-0-632-01744-7</t>
  </si>
  <si>
    <t>SP030</t>
  </si>
  <si>
    <t>Alkaline Igneous Rocks</t>
  </si>
  <si>
    <t>0-632-01616-7</t>
  </si>
  <si>
    <t>978-0-632-01616-7</t>
  </si>
  <si>
    <t>SP029</t>
  </si>
  <si>
    <t>Deformation of Sediments and Sedimentary Rocks</t>
  </si>
  <si>
    <t>0-632-01733-3</t>
  </si>
  <si>
    <t>978-0-632-01733-1</t>
  </si>
  <si>
    <t>SP028</t>
  </si>
  <si>
    <t>Continental Extensional Tectonics</t>
  </si>
  <si>
    <t>0-632-01605-1</t>
  </si>
  <si>
    <t>978-0-632-01605-1</t>
  </si>
  <si>
    <t>SP027</t>
  </si>
  <si>
    <t xml:space="preserve">Evolution of The Lewisian and Comparable Precambrian High Grade Terrains </t>
  </si>
  <si>
    <t>0-632-01683-3</t>
  </si>
  <si>
    <t>978-0-632-01683-9</t>
  </si>
  <si>
    <t>SP026</t>
  </si>
  <si>
    <t>Marine Petroleum Source Rocks</t>
  </si>
  <si>
    <t>0-632-01137-8</t>
  </si>
  <si>
    <t>978-0-632-01137-7</t>
  </si>
  <si>
    <t>RFM1B</t>
  </si>
  <si>
    <t>Disilicates and Ring Silicates - Volume 1B</t>
  </si>
  <si>
    <t>1-897799-89-6</t>
  </si>
  <si>
    <t>978-1-897799-89-5</t>
  </si>
  <si>
    <t>SPE3H</t>
  </si>
  <si>
    <t>Groundwater in Engineering Geology</t>
  </si>
  <si>
    <t>0-903317-35-4</t>
  </si>
  <si>
    <t>978-0-903317-35-1</t>
  </si>
  <si>
    <t>SPE2H</t>
  </si>
  <si>
    <t xml:space="preserve">Site Investigation Practise </t>
  </si>
  <si>
    <t>0-903317-33-8</t>
  </si>
  <si>
    <t>978-0-903317-33-7</t>
  </si>
  <si>
    <t>SP025</t>
  </si>
  <si>
    <t>Sedimentation In The African Rifts</t>
  </si>
  <si>
    <t>0-632-01534-9</t>
  </si>
  <si>
    <t>978-0-632-01534-4</t>
  </si>
  <si>
    <t>SP024</t>
  </si>
  <si>
    <t>Nature of The Lower Continental Crust</t>
  </si>
  <si>
    <t>0-632-01561-6</t>
  </si>
  <si>
    <t>978-0-632-01561-0</t>
  </si>
  <si>
    <t>SP023</t>
  </si>
  <si>
    <t>Habitat of Palaeozoic Gas</t>
  </si>
  <si>
    <t>0-7073-0491-1</t>
  </si>
  <si>
    <t>978-0-7073-0491-5</t>
  </si>
  <si>
    <t>SP022</t>
  </si>
  <si>
    <t>English Zechstein and Related Topics, The</t>
  </si>
  <si>
    <t>0-632-01067-3</t>
  </si>
  <si>
    <t>978-0-632-01067-7</t>
  </si>
  <si>
    <t>SP021</t>
  </si>
  <si>
    <t>North Atlantic Palaeoceanography</t>
  </si>
  <si>
    <t>0-632-01516-0</t>
  </si>
  <si>
    <t>978-0-632-01516-0</t>
  </si>
  <si>
    <t>SP020</t>
  </si>
  <si>
    <t xml:space="preserve">Palaeoecology and Biostratigraphy of Graptolites </t>
  </si>
  <si>
    <t>0-632-01071-1</t>
  </si>
  <si>
    <t>978-0-632-01071-4</t>
  </si>
  <si>
    <t>SP019</t>
  </si>
  <si>
    <t>Collision Tectonics</t>
  </si>
  <si>
    <t>0-632-01211-0</t>
  </si>
  <si>
    <t>978-0-632-01211-4</t>
  </si>
  <si>
    <t>M0011</t>
  </si>
  <si>
    <t>The Ophiolites of Northern Oman</t>
  </si>
  <si>
    <t>0-632-01587-X</t>
  </si>
  <si>
    <t>978-0-632-01587-0</t>
  </si>
  <si>
    <t>SR018</t>
  </si>
  <si>
    <t>Geophysical Logs In British Stratigraphy</t>
  </si>
  <si>
    <t>0-632-01488-1</t>
  </si>
  <si>
    <t>978-0-632-01488-0</t>
  </si>
  <si>
    <t>SPE1H</t>
  </si>
  <si>
    <t>Aggregates: Sand, Gravel, and Crushed Rock Aggregates for Construction Purposes (1st edition)</t>
  </si>
  <si>
    <t>0-903317-28-1</t>
  </si>
  <si>
    <t>978-0-903317-28-3</t>
  </si>
  <si>
    <t>SP018</t>
  </si>
  <si>
    <t>Sedimentology: Recent Developments and Applied Aspects (Hardback)</t>
  </si>
  <si>
    <t>0-632-01192-0</t>
  </si>
  <si>
    <t>978-0-632-01192-6</t>
  </si>
  <si>
    <t>M0010</t>
  </si>
  <si>
    <t>The Chronology of the Geological Record</t>
  </si>
  <si>
    <t>0-632-01285-4</t>
  </si>
  <si>
    <t>978-0-632-01285-5</t>
  </si>
  <si>
    <t>M0009</t>
  </si>
  <si>
    <t>The Nature and Timing of Orogenic Activity in the Caledonian Rocks on the British Isles</t>
  </si>
  <si>
    <t>0-632-01298-6</t>
  </si>
  <si>
    <t>978-0-632-01298-5</t>
  </si>
  <si>
    <t>SR017</t>
  </si>
  <si>
    <t>Acritarchs In British Stratigraphy</t>
  </si>
  <si>
    <t>0-632-01225-0</t>
  </si>
  <si>
    <t>978-0-632-01225-1</t>
  </si>
  <si>
    <t>SR016</t>
  </si>
  <si>
    <t>Trilobites In British Stratigraphy</t>
  </si>
  <si>
    <t>0-632-01201-3</t>
  </si>
  <si>
    <t>978-0-632-01201-5</t>
  </si>
  <si>
    <t>SP016</t>
  </si>
  <si>
    <t>Marginal Basin Geology Volcanic and Associated Sedimentary and Tectonic Processes in Modern and Ancient Marginal Basins</t>
  </si>
  <si>
    <t>0-632-01073-8</t>
  </si>
  <si>
    <t>978-0-63201-073-8</t>
  </si>
  <si>
    <t>SP015</t>
  </si>
  <si>
    <t>Fine Grained Sediments: Deep Water Processes and Facies</t>
  </si>
  <si>
    <t>0-632-01075-4</t>
  </si>
  <si>
    <t>978-0-632-01075-2</t>
  </si>
  <si>
    <t>SP014</t>
  </si>
  <si>
    <t xml:space="preserve">Variscan Tectonics of the North Atlantic Region </t>
  </si>
  <si>
    <t>0-632-01203-X</t>
  </si>
  <si>
    <t>978-0-632-01203-9</t>
  </si>
  <si>
    <t>SP013</t>
  </si>
  <si>
    <t>Ophiolites and Oceanic Lithosphere</t>
  </si>
  <si>
    <t>0-632-01219-6</t>
  </si>
  <si>
    <t>978-0-632-01219-0</t>
  </si>
  <si>
    <t>SP012</t>
  </si>
  <si>
    <t>Petroleum Geochemistry and Exploration of Europe</t>
  </si>
  <si>
    <t>0-632-01076-2</t>
  </si>
  <si>
    <t>978-0-632-01076-9</t>
  </si>
  <si>
    <t>SP011</t>
  </si>
  <si>
    <t xml:space="preserve">Residual Deposits: Surface Related Weathering Processes and Materials </t>
  </si>
  <si>
    <t>0-632-01072-X</t>
  </si>
  <si>
    <t>978-0-632-01072-1</t>
  </si>
  <si>
    <t>RFM1A</t>
  </si>
  <si>
    <t>Orthosilicates - Volume 1A</t>
  </si>
  <si>
    <t>1-897799-88-8</t>
  </si>
  <si>
    <t>978-1-897799-88-8</t>
  </si>
  <si>
    <t>MPB02</t>
  </si>
  <si>
    <t>Adam Sedgwick - A Biography</t>
  </si>
  <si>
    <t>0-906716-01-2</t>
  </si>
  <si>
    <t>978-0-906716-01-4</t>
  </si>
  <si>
    <t>SP010</t>
  </si>
  <si>
    <t xml:space="preserve">Trench And Forearc Geology </t>
  </si>
  <si>
    <t>0-632-00708-7</t>
  </si>
  <si>
    <t>978-0-632-00708-0</t>
  </si>
  <si>
    <t>SP009</t>
  </si>
  <si>
    <t>Thrust and Nappe Tectonics</t>
  </si>
  <si>
    <t>0-632-00614-5</t>
  </si>
  <si>
    <t>978-0-632-00614-4</t>
  </si>
  <si>
    <t>SR015</t>
  </si>
  <si>
    <t>Middle and Upper Jurassic</t>
  </si>
  <si>
    <t>0-632-00714-1</t>
  </si>
  <si>
    <t>978-0-632-00714-1</t>
  </si>
  <si>
    <t>SR014</t>
  </si>
  <si>
    <t>Introduction and Lower Jurassic</t>
  </si>
  <si>
    <t>0-632-00712-5</t>
  </si>
  <si>
    <t>978-0-632-00712-7</t>
  </si>
  <si>
    <t>SR013</t>
  </si>
  <si>
    <t>Triassic</t>
  </si>
  <si>
    <t>0-632-00638-2</t>
  </si>
  <si>
    <t>978-0-632-00638-0</t>
  </si>
  <si>
    <t>SP008</t>
  </si>
  <si>
    <t>The Caledonides of the British Isles Reviewed</t>
  </si>
  <si>
    <t>0-7073-0257-9</t>
  </si>
  <si>
    <t>978-0-7073-0257-7</t>
  </si>
  <si>
    <t>SR012</t>
  </si>
  <si>
    <t>Tertiary</t>
  </si>
  <si>
    <t>0-903317-22-2</t>
  </si>
  <si>
    <t>978-0-903317-22-1</t>
  </si>
  <si>
    <t>SR011</t>
  </si>
  <si>
    <t>A Guide To Stratigraphical Procedure</t>
  </si>
  <si>
    <t>SR010</t>
  </si>
  <si>
    <t>Silesian</t>
  </si>
  <si>
    <t>0-7073-0234-X</t>
  </si>
  <si>
    <t>978-0-7073-0234-8</t>
  </si>
  <si>
    <t>SR009</t>
  </si>
  <si>
    <t>Cretaceous</t>
  </si>
  <si>
    <t>0-7073-0221-8</t>
  </si>
  <si>
    <t>978-0-7073-0221-8</t>
  </si>
  <si>
    <t>RFM2A</t>
  </si>
  <si>
    <t>Single-Chain Silicates - Volume 2A (2nd edition)</t>
  </si>
  <si>
    <t>1-897799-85-3</t>
  </si>
  <si>
    <t>978-1-897799-85-7</t>
  </si>
  <si>
    <t>SP006</t>
  </si>
  <si>
    <t>Geological Background To Fossil Man</t>
  </si>
  <si>
    <t>0-8020-2302-9</t>
  </si>
  <si>
    <t>978-0-8020-2302-5</t>
  </si>
  <si>
    <t>M0008</t>
  </si>
  <si>
    <t>A Palaeogeological Map of the Lower Palaeozoic Floor below the cover of Upper Devonian, Carboniferous and Later Formations</t>
  </si>
  <si>
    <t>0-7073-0226-9</t>
  </si>
  <si>
    <t>978-0-7073-0226-3</t>
  </si>
  <si>
    <t>SR008</t>
  </si>
  <si>
    <t>Devonian</t>
  </si>
  <si>
    <t>0-7073-0121-1</t>
  </si>
  <si>
    <t>978-0-7073-0121-1</t>
  </si>
  <si>
    <t>SP007</t>
  </si>
  <si>
    <t>Volcanic Processes in Ore Genesis</t>
  </si>
  <si>
    <t>0-90048-833-6</t>
  </si>
  <si>
    <t>978-0-900488-33-7</t>
  </si>
  <si>
    <t>SR007</t>
  </si>
  <si>
    <t>Dinantian</t>
  </si>
  <si>
    <t>0-7073-0120-3</t>
  </si>
  <si>
    <t>978-0-7073-0120-4</t>
  </si>
  <si>
    <t>SR006</t>
  </si>
  <si>
    <t>Precambrian</t>
  </si>
  <si>
    <t>0-7073-0112-2</t>
  </si>
  <si>
    <t>978-0-7073-0112-9</t>
  </si>
  <si>
    <t>SR005</t>
  </si>
  <si>
    <t>Permian</t>
  </si>
  <si>
    <t>SP004</t>
  </si>
  <si>
    <t>Mesozoic-Cenozoic Orogenic Belts</t>
  </si>
  <si>
    <t>0-7073-0047-9</t>
  </si>
  <si>
    <t>978-0-7073-0047-4</t>
  </si>
  <si>
    <t>M0007</t>
  </si>
  <si>
    <t>A Palaeogeological Map of the Palaeozoic Floor below the Permian and Mesozoic formations in England and Wales</t>
  </si>
  <si>
    <t>0-903317-26-5</t>
  </si>
  <si>
    <t>978-0-903317-26-9</t>
  </si>
  <si>
    <t>SR003</t>
  </si>
  <si>
    <t>Ordovician</t>
  </si>
  <si>
    <t>SR002</t>
  </si>
  <si>
    <t>Cambrian</t>
  </si>
  <si>
    <t>0-903317-14-1</t>
  </si>
  <si>
    <t>978-0-903317-14-6</t>
  </si>
  <si>
    <t>SR004</t>
  </si>
  <si>
    <t>Quaternary</t>
  </si>
  <si>
    <t>0-903317-13-3</t>
  </si>
  <si>
    <t>978-0-903317-13-9</t>
  </si>
  <si>
    <t>SR001</t>
  </si>
  <si>
    <t>Silurian</t>
  </si>
  <si>
    <t>0-632-00662-5</t>
  </si>
  <si>
    <t>978-0-632-00662-5</t>
  </si>
  <si>
    <t>SP005</t>
  </si>
  <si>
    <t>Phanerozoic Time Scale-A Supplement</t>
  </si>
  <si>
    <t>0-903317-00-1</t>
  </si>
  <si>
    <t>978-0-903317-00-9</t>
  </si>
  <si>
    <t>M0006</t>
  </si>
  <si>
    <t>Late Precambrian Glaciation In Scotland</t>
  </si>
  <si>
    <t>0-903317-07-9</t>
  </si>
  <si>
    <t>978-0-903317-07-8</t>
  </si>
  <si>
    <t>M0005</t>
  </si>
  <si>
    <t>Shallow-Water Sedimentation as illustrated in the Upper Devonian Baggy Beds</t>
  </si>
  <si>
    <t>0-903317-06-0</t>
  </si>
  <si>
    <t>978-0-903317-06-1</t>
  </si>
  <si>
    <t>SP003</t>
  </si>
  <si>
    <t>Time and Place in Orogeny</t>
  </si>
  <si>
    <t>M0004</t>
  </si>
  <si>
    <t>Geology of Portuguese Timor</t>
  </si>
  <si>
    <t>0-903317-05-2</t>
  </si>
  <si>
    <t>978-0-903317-05-4</t>
  </si>
  <si>
    <t>SP002</t>
  </si>
  <si>
    <t>The Fossil Record</t>
  </si>
  <si>
    <t>0-903317-08-7</t>
  </si>
  <si>
    <t>978-0-903317-08-5</t>
  </si>
  <si>
    <t>SP001</t>
  </si>
  <si>
    <t>The Phanerozoic Time-scale: A Symposium</t>
  </si>
  <si>
    <t>0-903317-01-X</t>
  </si>
  <si>
    <t>978-0-903317-01-6</t>
  </si>
  <si>
    <t>M0003</t>
  </si>
  <si>
    <t>The Barr and Lower Ardmillan Series (Caradoc) of the Girvan District, South-West Ayshire, with descriptions of the Brachiopoda</t>
  </si>
  <si>
    <t>0-903317-04-4</t>
  </si>
  <si>
    <t>978-0-903317-04-7</t>
  </si>
  <si>
    <t>M0002</t>
  </si>
  <si>
    <t>Geological Results of Petroleum Exploration in Britain 1945-1957</t>
  </si>
  <si>
    <t>M0001</t>
  </si>
  <si>
    <t>Ring-Complexes In The Younger Granite Province of Northern Nigeria</t>
  </si>
  <si>
    <t>Access to more recent book titles requires a Full Book Collection (FBC) subscription. Please contact the membership office to add this option to your annual membership fees.</t>
  </si>
  <si>
    <t>Lyell Collection homepage -</t>
  </si>
  <si>
    <t>www.lyellcollection.org</t>
  </si>
  <si>
    <t xml:space="preserve">Lyell Collection information - </t>
  </si>
  <si>
    <t>www.geolsoc.org.uk/LyellCollection</t>
  </si>
  <si>
    <t xml:space="preserve">Access entitlements and FAQs for GSL Fellows and student members - </t>
  </si>
  <si>
    <t>www.geolsoc.org.uk/FellowsAccess</t>
  </si>
  <si>
    <t xml:space="preserve">Resources for Institutions, Corporations and Libraries - </t>
  </si>
  <si>
    <t>www.geolsoc.org.uk/lcaccess</t>
  </si>
  <si>
    <t xml:space="preserve">MARC and KBART records - </t>
  </si>
  <si>
    <t xml:space="preserve">Lyell Collection access help page for institutions - </t>
  </si>
  <si>
    <t>www.geolsoc.org.uk/lyellsubsfaqs</t>
  </si>
  <si>
    <t>Pay-per-view instructions -</t>
  </si>
  <si>
    <t>www.geolsoc.org.uk/ppv</t>
  </si>
  <si>
    <t xml:space="preserve">Online bookshop help and frequently asked questions - </t>
  </si>
  <si>
    <t>www.geolsoc.org.uk/bookshop_FAQs</t>
  </si>
  <si>
    <t>Lyell Collection Journals</t>
  </si>
  <si>
    <t>Lyell Collection site page</t>
  </si>
  <si>
    <t>Web page for content by year</t>
  </si>
  <si>
    <t>Publication years</t>
  </si>
  <si>
    <t>Online content format</t>
  </si>
  <si>
    <t>Online ISSN</t>
  </si>
  <si>
    <t>Print ISSN</t>
  </si>
  <si>
    <t>Issues per year</t>
  </si>
  <si>
    <t>Journal of the Geological Society 
(formerly Quarterly Journal of the Geological Society)</t>
  </si>
  <si>
    <t>https://www.lyellcollection.org/journal/jgs</t>
  </si>
  <si>
    <t>https://www.lyellcollection.org/loi/jgs</t>
  </si>
  <si>
    <t>1845 to current</t>
  </si>
  <si>
    <t>Abstract and References available online with full text articles in PDF format up to 1999 (Volume 156). Full text articles available online and in PDF format from 2000 (Volume 157)</t>
  </si>
  <si>
    <t>2041-479X</t>
  </si>
  <si>
    <t>Quarterly Journal of Engineering Geology &amp; Hydrogeology</t>
  </si>
  <si>
    <t>https://www.lyellcollection.org/journal/qjegh</t>
  </si>
  <si>
    <t>https://www.lyellcollection.org/loi/qjegh</t>
  </si>
  <si>
    <t>1967 to current</t>
  </si>
  <si>
    <t>Abstract and References available online with full text articles in PDF format up to 1999 (Volume 32). Full text articles available online and in PDF format from 2000 (Volume 33)</t>
  </si>
  <si>
    <t>2041-4803</t>
  </si>
  <si>
    <r>
      <t>Petroleum Geoscience</t>
    </r>
    <r>
      <rPr>
        <i/>
        <sz val="8"/>
        <rFont val="Arial"/>
        <family val="2"/>
      </rPr>
      <t xml:space="preserve">
Co-published with EAGE</t>
    </r>
  </si>
  <si>
    <t>https://www.lyellcollection.org/journal/pg</t>
  </si>
  <si>
    <t>https://www.lyellcollection.org/journal/loi/pg</t>
  </si>
  <si>
    <t>1995 to current</t>
  </si>
  <si>
    <t>Abstract and References available online with full text articles in PDF format up to 1999 (Volume 5). Full text articles available online and in PDF format from 2000 (Volume 6)</t>
  </si>
  <si>
    <t>2041-496X</t>
  </si>
  <si>
    <r>
      <t xml:space="preserve">Geoenergy
</t>
    </r>
    <r>
      <rPr>
        <i/>
        <sz val="8"/>
        <rFont val="Arial"/>
        <family val="2"/>
      </rPr>
      <t>Co-published with EAGE</t>
    </r>
  </si>
  <si>
    <t>https://www.lyellcollection.org/journal/geoenergy</t>
  </si>
  <si>
    <t>https://www.lyellcollection.org/journal/loi/geoenergy</t>
  </si>
  <si>
    <t>2023 to current</t>
  </si>
  <si>
    <t>All articles available as full text and in PDF format</t>
  </si>
  <si>
    <t>2755-1725</t>
  </si>
  <si>
    <r>
      <t>Geochemistry: Exploration, Environment, Analysis</t>
    </r>
    <r>
      <rPr>
        <i/>
        <sz val="8"/>
        <rFont val="Arial"/>
        <family val="2"/>
      </rPr>
      <t xml:space="preserve">
Co-published with Association of Applied Geochemists</t>
    </r>
  </si>
  <si>
    <t>https://www.lyellcollection.org/journal/geea</t>
  </si>
  <si>
    <t>https://www.lyellcollection.org/journal/loi/geea</t>
  </si>
  <si>
    <t>2001 to current</t>
  </si>
  <si>
    <t>2041-4943</t>
  </si>
  <si>
    <t>Earth Science, Systems and Society (ES3)</t>
  </si>
  <si>
    <t>https://www.lyellcollection.org/journal/esss</t>
  </si>
  <si>
    <t>https://www.lyellcollection.org/journal/loi/esss</t>
  </si>
  <si>
    <t>2022 to current</t>
  </si>
  <si>
    <t>Open access journal.</t>
  </si>
  <si>
    <r>
      <t>Proceedings of the Yorkshire Geological Society</t>
    </r>
    <r>
      <rPr>
        <i/>
        <sz val="8"/>
        <rFont val="Arial"/>
        <family val="2"/>
      </rPr>
      <t xml:space="preserve">
Published on behalf of the Yorkshire Geological Society</t>
    </r>
  </si>
  <si>
    <t>https://www.lyellcollection.org/journal/pygs</t>
  </si>
  <si>
    <t>https://www.lyellcollection.org/journal/loi/pygs</t>
  </si>
  <si>
    <t>1839 to current</t>
  </si>
  <si>
    <t>Abstract and References available online with full text articles in PDF format up to 1999 (Volume 52, part 4). Full text articles available online and in PDF format from 2000 (Volume 53, part 1)</t>
  </si>
  <si>
    <t>2041-4811</t>
  </si>
  <si>
    <r>
      <t>Scottish Journal of Geology</t>
    </r>
    <r>
      <rPr>
        <i/>
        <sz val="8"/>
        <rFont val="Arial"/>
        <family val="2"/>
      </rPr>
      <t xml:space="preserve">
Published on behalf of the Edinburgh and Glasgow geological societies</t>
    </r>
  </si>
  <si>
    <t>https://www.lyellcollection.org/journal/sjg</t>
  </si>
  <si>
    <t>https://www.lyellcollection.org/journal/loi/sjg</t>
  </si>
  <si>
    <t>1965 to current</t>
  </si>
  <si>
    <t>Abstract and References available online with full text articles in PDF format up to 1999 (Volume 35). Full text articles available online and in PDF format from 2000 (Volume 36)</t>
  </si>
  <si>
    <t>2041-4951</t>
  </si>
  <si>
    <r>
      <t>Journal of Micropalaeontology</t>
    </r>
    <r>
      <rPr>
        <i/>
        <sz val="8"/>
        <rFont val="Arial"/>
        <family val="2"/>
      </rPr>
      <t xml:space="preserve">
Published on behalf of The Micropalaeontological Society (1995-2017)</t>
    </r>
  </si>
  <si>
    <t>https://www.lyellcollection.org/journal/jm</t>
  </si>
  <si>
    <t>https://www.lyellcollection.org/loi/jm</t>
  </si>
  <si>
    <t>1982 to 2017</t>
  </si>
  <si>
    <t>Abstract and References available online with full text articles in PDF format up to 1999 (Volume 18). Full text articles available online and in PDF format from 2000 (Volume 19) to 2017 (Volume 36)</t>
  </si>
  <si>
    <t>2041-4978</t>
  </si>
  <si>
    <t xml:space="preserve">Historic content </t>
  </si>
  <si>
    <t>Transactions of the Geological Society of London</t>
  </si>
  <si>
    <t>https://www.lyellcollection.org/journal/trn</t>
  </si>
  <si>
    <t>https://www.lyellcollection.org/loi/trn</t>
  </si>
  <si>
    <t>1811-1845</t>
  </si>
  <si>
    <t>Abstract and References available online with full text articles in PDF format</t>
  </si>
  <si>
    <t>2058-1041</t>
  </si>
  <si>
    <t>Transactions of the Edinburgh Geological Society</t>
  </si>
  <si>
    <t>https://www.lyellcollection.org/journal/trned</t>
  </si>
  <si>
    <t>https://www.lyellcollection.org/loi/trned</t>
  </si>
  <si>
    <t>1868-1963</t>
  </si>
  <si>
    <t>2052-9414</t>
  </si>
  <si>
    <t>Transactions of the Geological Society of Glasgow</t>
  </si>
  <si>
    <t>https://www.lyellcollection.org/journal/trngl</t>
  </si>
  <si>
    <t>https://www.lyellcollection.org/loi/trngl</t>
  </si>
  <si>
    <t>1860-1963</t>
  </si>
  <si>
    <t>2052-9422</t>
  </si>
  <si>
    <t>Book series</t>
  </si>
  <si>
    <t>Titles per year</t>
  </si>
  <si>
    <t>https://www.lyellcollection.org/book/sp</t>
  </si>
  <si>
    <t>https://www.lyellcollection.org/loi/sp</t>
  </si>
  <si>
    <t>1964 to current</t>
  </si>
  <si>
    <t>Abstract and References available online with full text articles in PDF format up to 1999 (Volume 277). Full text articles available online and in PDF format from 2000 (Volume 278)</t>
  </si>
  <si>
    <t>2041-4927</t>
  </si>
  <si>
    <t>0305-8719</t>
  </si>
  <si>
    <t>8 to 15</t>
  </si>
  <si>
    <t>https://www.lyellcollection.org/book/mem</t>
  </si>
  <si>
    <t>https://www.lyellcollection.org/journal/loi/mem</t>
  </si>
  <si>
    <t>1958 to current</t>
  </si>
  <si>
    <t>Abstract and References available online with full text articles in PDF format up to 2007 (Volume 32). Full text articles available online and in PDF format from 2008 (Volume 33)</t>
  </si>
  <si>
    <t>2041-4722</t>
  </si>
  <si>
    <t>0435-4052</t>
  </si>
  <si>
    <t>Intermittent series</t>
  </si>
  <si>
    <t>https://www.lyellcollection.org/book/egsp</t>
  </si>
  <si>
    <t>https://www.lyellcollection.org/loi/egsp</t>
  </si>
  <si>
    <t>1986 to current</t>
  </si>
  <si>
    <t>Abstract and References available online with full text articles in PDF format up to 2008 (Volume 21). Full text articles available online and in PDF format from 2009 (Volume 22)</t>
  </si>
  <si>
    <t>2041-4730</t>
  </si>
  <si>
    <t xml:space="preserve">Energy Geoscience Conference series </t>
  </si>
  <si>
    <t>https://www.lyellcollection.org/book/egc</t>
  </si>
  <si>
    <t>https://www.lyellcollection.org/loi/egc</t>
  </si>
  <si>
    <t>In progress content from August 2024</t>
  </si>
  <si>
    <t>All articles will be available as full text and in PDF format</t>
  </si>
  <si>
    <t>2976-7814</t>
  </si>
  <si>
    <t>2976-7806</t>
  </si>
  <si>
    <r>
      <t xml:space="preserve">GeoHorizons
</t>
    </r>
    <r>
      <rPr>
        <i/>
        <sz val="8"/>
        <color theme="1"/>
        <rFont val="Arial"/>
        <family val="2"/>
      </rPr>
      <t>Co-published with American Geophysical Union (AGU)</t>
    </r>
  </si>
  <si>
    <t>https://www.lyellcollection.org/book/geohorizons</t>
  </si>
  <si>
    <t>to be confirmed</t>
  </si>
  <si>
    <t>2977-4101</t>
  </si>
  <si>
    <t>2977-4098</t>
  </si>
  <si>
    <t>Petroleum Geology Conference Series (volumes 4 to 8)</t>
  </si>
  <si>
    <t>https://www.lyellcollection.org/book/pgc</t>
  </si>
  <si>
    <t>https://www.lyellcollection.org/loi/pgc</t>
  </si>
  <si>
    <t>1993 to 2018</t>
  </si>
  <si>
    <t>Abstract and References available online with full text articles in PDF format for Volumes 4, 5 and 6. Full text articles available online and in PDF format for Volumes 7 and 8.</t>
  </si>
  <si>
    <t>2047-9921</t>
  </si>
  <si>
    <t>Pay-per-view information and help:</t>
  </si>
  <si>
    <t>https://www.geolsoc.org.uk/ppv</t>
  </si>
  <si>
    <t>Online bookshop help page (print copies):</t>
  </si>
  <si>
    <t>https://www.geolsoc.org.uk/bookshop_faqs</t>
  </si>
  <si>
    <t>Geological Society of London member access help page:</t>
  </si>
  <si>
    <t>https://www.geolsoc.org.uk/fellowsaccessfaqs</t>
  </si>
  <si>
    <t>*Ebook and PPV currency charged based on user IP address (UK = GBP; EU &amp; Europe = Euro; Rest of World = USD)</t>
  </si>
  <si>
    <t>Information for GSL members and individuals</t>
  </si>
  <si>
    <t>Print copy</t>
  </si>
  <si>
    <t>Online editions</t>
  </si>
  <si>
    <t>Print product code</t>
  </si>
  <si>
    <t>Purchase print copy from the online bookshop</t>
  </si>
  <si>
    <t>Print GSL member price</t>
  </si>
  <si>
    <t>Access for Geological Society of London members</t>
  </si>
  <si>
    <t>Whole book volume PPV (download individual pdf articles) USD*</t>
  </si>
  <si>
    <t>URL to purchase eBook and download ePub (personal use only)</t>
  </si>
  <si>
    <t>eBook price (ePub) USD*</t>
  </si>
  <si>
    <t>https://www.lyellcollection.org/series/ebooks</t>
  </si>
  <si>
    <t>Pay-per-view access to eBook</t>
  </si>
  <si>
    <t>Not available</t>
  </si>
  <si>
    <t>Sustainable Development and Management of the Shallow Subsurface</t>
  </si>
  <si>
    <t>Information for institutional and corporate subscribers</t>
  </si>
  <si>
    <t>Subscriber information</t>
  </si>
  <si>
    <t>Lyell Collection Complete subscriber link</t>
  </si>
  <si>
    <t>Special Publications subscriber link</t>
  </si>
  <si>
    <t>The Geology of Spain</t>
  </si>
  <si>
    <t>Geology of England and Wales, 2nd edition</t>
  </si>
  <si>
    <t>The Geology of Chile</t>
  </si>
  <si>
    <t>Geology of Central Europe: Volume 2 Mesozoic and Cenozoic</t>
  </si>
  <si>
    <t>Geology of Central Europe: Volume 1 Precambrian and Palaeozoic</t>
  </si>
  <si>
    <t>eBook content not available with subscription</t>
  </si>
  <si>
    <t>Geology of Thailand</t>
  </si>
  <si>
    <t xml:space="preserve">Add the product code at the end of the URL to go directly to the product page, </t>
  </si>
  <si>
    <t>https://www.lyellcollection.org/info/librarians#marckbart</t>
  </si>
  <si>
    <t>Tel: +44 (0)1225 445046. Sales department email: sales@geolsoc.org.uk</t>
  </si>
  <si>
    <t xml:space="preserve">Geological Society Publishing House, Unit 7 Brassmill Enterprise Centre, Brassmill Lane, Bath, BA1 3JN, UK. </t>
  </si>
  <si>
    <t>Yes, included in the Book Archive</t>
  </si>
  <si>
    <t>Full Book Collection add-on required</t>
  </si>
  <si>
    <t>SP559</t>
  </si>
  <si>
    <t>Earth Observations and Proximity Sensing Technologies: Enhancing Safety, Sustainability and Efficiency in Mining Operations</t>
  </si>
  <si>
    <t>978-1-78620-695-4</t>
  </si>
  <si>
    <t>SP560</t>
  </si>
  <si>
    <t>978-1-78620-696-1</t>
  </si>
  <si>
    <t>The Role of Tectonics on the Emergence and Evolution of Volcanic Features with Particular Reference to the Mediterranean Region</t>
  </si>
  <si>
    <t>Online access for GSL members?</t>
  </si>
  <si>
    <t>https://www.geolsoc.org.uk/spe22/</t>
  </si>
  <si>
    <t>https://www.geolsoc.org.uk/spe23/</t>
  </si>
  <si>
    <t>https://www.geolsoc.org.uk/spe27/</t>
  </si>
  <si>
    <t>https://www.geolsoc.org.uk/spe28/</t>
  </si>
  <si>
    <t>https://www.geolsoc.org.uk/spe29/</t>
  </si>
  <si>
    <t>https://www.geolsoc.org.uk/m0036/</t>
  </si>
  <si>
    <t>https://www.geolsoc.org.uk/sp506/</t>
  </si>
  <si>
    <t>https://www.geolsoc.org.uk/cev1p/</t>
  </si>
  <si>
    <t>https://www.geolsoc.org.uk/cev2p/</t>
  </si>
  <si>
    <t>https://www.geolsoc.org.uk/goewp/</t>
  </si>
  <si>
    <t>https://www.geolsoc.org.uk/gojapp/</t>
  </si>
  <si>
    <t>https://www.geolsoc.org.uk/gothp/</t>
  </si>
  <si>
    <t>https://www.geolsoc.org.uk/gochp/</t>
  </si>
  <si>
    <t>https://www.geolsoc.org.uk/gospp/</t>
  </si>
  <si>
    <t>https://www.geolsoc.org.uk/mpgfg/</t>
  </si>
  <si>
    <t>https://www.geolsoc.org.uk/mpsdm/</t>
  </si>
  <si>
    <t>https://www.geolsoc.org.uk/sr027/</t>
  </si>
  <si>
    <t>https://www.geolsoc.org.uk/gip001/</t>
  </si>
  <si>
    <t>https://www.lyellcollection.org/toc/egsp/22/1 (included in member Book Archive access)</t>
  </si>
  <si>
    <t>https://www.lyellcollection.org/toc/egsp/23/1 (included in member Book Archive access)</t>
  </si>
  <si>
    <t>https://www.lyellcollection.org/toc/egsp/27/1 (included in member Book Archive access)</t>
  </si>
  <si>
    <t>https://www.lyellcollection.org/toc/egsp/28/1 (included in member Book Archive access)</t>
  </si>
  <si>
    <t>https://www.lyellcollection.org/toc/egsp/29/1 (included in member Book Archive access)</t>
  </si>
  <si>
    <t>https://www.lyellcollection.org/toc/mem/36/1 (included in member Book Archive access)</t>
  </si>
  <si>
    <t>https://www.lyellcollection.org/toc/sp/506/1 (included in member Book Archive access)</t>
  </si>
  <si>
    <t>Publishing model</t>
  </si>
  <si>
    <t>Hybrid</t>
  </si>
  <si>
    <t>Open access</t>
  </si>
  <si>
    <t>Double-issue</t>
  </si>
  <si>
    <t>New open access book series - content from 2026</t>
  </si>
  <si>
    <t>All articles will be available as full text, PDF and EPUB formats.</t>
  </si>
  <si>
    <t>2634-730X</t>
  </si>
  <si>
    <t>United Kingdom Oil and Gas Fields Commemorative Millennium Volume</t>
  </si>
  <si>
    <t>SP561</t>
  </si>
  <si>
    <t>Implementing Geological Disposal of Radioactive Waste – Input from Research Activities</t>
  </si>
  <si>
    <t>978-1-78620-698-5</t>
  </si>
  <si>
    <t>e.g. www.geolsoc.org.uk/SP556/</t>
  </si>
  <si>
    <t>GH001</t>
  </si>
  <si>
    <t>Geohorizons</t>
  </si>
  <si>
    <t>978-1-78620-697-8</t>
  </si>
  <si>
    <t>Using Earth Observation Data for Disaster Resilience in a Changing World</t>
  </si>
  <si>
    <t>SP562</t>
  </si>
  <si>
    <t>A Tour of the Solid Solar System: Recognizing Early Career Contributions to Extraterrestrial Geology</t>
  </si>
  <si>
    <t>978-1-78620-699-2</t>
  </si>
  <si>
    <t>GIP002</t>
  </si>
  <si>
    <t>Content not available on the Lyell Collection see SPE17 (3rd edition)</t>
  </si>
  <si>
    <t>Content not available on the Lyell Collection</t>
  </si>
  <si>
    <t>978-1-78620-700-5</t>
  </si>
  <si>
    <t>Engineering Geology in the Design and Construction of Earthworks for Transport Infrastructure and Building Developments in the UK</t>
  </si>
  <si>
    <t>SP563</t>
  </si>
  <si>
    <t>978-1-78620-701-2</t>
  </si>
  <si>
    <t>TBC</t>
  </si>
  <si>
    <t>Tectonic processes in the circum-Atlantic orogens</t>
  </si>
  <si>
    <t>Due September 2026.</t>
  </si>
  <si>
    <t>SR029</t>
  </si>
  <si>
    <t>A Correlation of Jurassic Rocks of Britain, Ireland and their Contiguous Offshore Areas</t>
  </si>
  <si>
    <t>978-1-78620-702-9</t>
  </si>
  <si>
    <t>Due August 2026.</t>
  </si>
  <si>
    <t>Due November 2026.</t>
  </si>
  <si>
    <t>SP564</t>
  </si>
  <si>
    <t>Trailblazers, Leaders and those in the Shadows: History of Women in the Geological Sciences – International Perspectives</t>
  </si>
  <si>
    <t>978-1-78620-705-0</t>
  </si>
  <si>
    <t>Due December 2026.</t>
  </si>
  <si>
    <t>Due October 2026.</t>
  </si>
  <si>
    <t>SP565</t>
  </si>
  <si>
    <t>Geography and Life Before Pangaea: a Volume in Honour of Robin Cocks</t>
  </si>
  <si>
    <t>978-1-78620-706-7</t>
  </si>
  <si>
    <r>
      <t>GSL fellows and student members can access</t>
    </r>
    <r>
      <rPr>
        <b/>
        <sz val="8"/>
        <rFont val="Arial"/>
        <family val="2"/>
      </rPr>
      <t xml:space="preserve"> book content </t>
    </r>
    <r>
      <rPr>
        <sz val="8"/>
        <rFont val="Arial"/>
        <family val="2"/>
      </rPr>
      <t xml:space="preserve">older than the current or three previous calender years (the Book Archive) as part of their membership (email address and password required).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</si>
</sst>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409]#,##0"/>
    <numFmt numFmtId="166" formatCode="[$USD]\ #,##0"/>
  </numFmts>
  <fonts count="23" x14ac:knownFonts="1">
    <font>
      <sz val="10"/>
      <color theme="1"/>
      <name val="Arial"/>
      <family val="2"/>
    </font>
    <font>
      <u/>
      <sz val="10"/>
      <color theme="10"/>
      <name val="Arial"/>
      <family val="2"/>
    </font>
    <font>
      <b/>
      <sz val="8"/>
      <name val="Arial"/>
      <family val="2"/>
    </font>
    <font>
      <sz val="8"/>
      <name val="Arial"/>
      <family val="2"/>
    </font>
    <font>
      <vertAlign val="superscript"/>
      <sz val="8"/>
      <name val="Arial"/>
      <family val="2"/>
    </font>
    <font>
      <sz val="10"/>
      <name val="Book Antiqua"/>
      <family val="1"/>
    </font>
    <font>
      <sz val="8"/>
      <color theme="1"/>
      <name val="Arial"/>
      <family val="2"/>
    </font>
    <font>
      <sz val="10"/>
      <name val="Arial"/>
      <family val="2"/>
    </font>
    <font>
      <i/>
      <sz val="8"/>
      <name val="Arial"/>
      <family val="2"/>
    </font>
    <font>
      <b/>
      <sz val="8"/>
      <color theme="1"/>
      <name val="Arial"/>
      <family val="2"/>
    </font>
    <font>
      <b/>
      <sz val="7"/>
      <name val="Arial"/>
      <family val="2"/>
    </font>
    <font>
      <sz val="7"/>
      <name val="Arial"/>
      <family val="2"/>
    </font>
    <font>
      <sz val="7"/>
      <color theme="1"/>
      <name val="Arial"/>
      <family val="2"/>
    </font>
    <font>
      <sz val="8"/>
      <color rgb="FF000000"/>
      <name val="Arial"/>
      <family val="2"/>
    </font>
    <font>
      <b/>
      <i/>
      <sz val="8"/>
      <name val="Arial"/>
      <family val="2"/>
    </font>
    <font>
      <sz val="8"/>
      <color theme="10"/>
      <name val="Arial"/>
      <family val="2"/>
    </font>
    <font>
      <b/>
      <sz val="10"/>
      <color theme="1"/>
      <name val="Arial"/>
      <family val="2"/>
    </font>
    <font>
      <i/>
      <sz val="8"/>
      <color theme="1"/>
      <name val="Arial"/>
      <family val="2"/>
    </font>
    <font>
      <sz val="8"/>
      <color rgb="FF242424"/>
      <name val="Arial"/>
      <family val="2"/>
    </font>
    <font>
      <sz val="8"/>
      <color rgb="FF333333"/>
      <name val="Arial"/>
      <family val="2"/>
    </font>
    <font>
      <i/>
      <sz val="8"/>
      <color theme="0"/>
      <name val="Arial"/>
      <family val="2"/>
    </font>
    <font>
      <sz val="8"/>
      <color rgb="FF333333"/>
      <name val="Arial"/>
      <family val="2"/>
    </font>
    <font>
      <b/>
      <sz val="8"/>
      <color theme="0"/>
      <name val="Arial"/>
      <family val="2"/>
    </font>
  </fonts>
  <fills count="1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auto="1"/>
        <bgColor indexed="64"/>
      </patternFill>
    </fill>
    <fill>
      <patternFill patternType="solid">
        <fgColor theme="8" tint="0.79998168889431442"/>
        <bgColor indexed="64"/>
      </patternFill>
    </fill>
    <fill>
      <patternFill patternType="solid">
        <fgColor rgb="FF000000"/>
        <bgColor indexed="64"/>
      </patternFill>
    </fill>
    <fill>
      <patternFill patternType="solid">
        <fgColor theme="1"/>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bgColor rgb="FF000000"/>
      </patternFill>
    </fill>
    <fill>
      <patternFill patternType="solid">
        <fgColor theme="7"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thin">
        <color indexed="64"/>
      </right>
      <top style="thin">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1" fillId="0" borderId="0" applyNumberFormat="0" applyFill="0" applyBorder="0" applyAlignment="0" applyProtection="0"/>
    <xf numFmtId="0" fontId="5" fillId="0" borderId="0"/>
    <xf numFmtId="0" fontId="7" fillId="0" borderId="0"/>
  </cellStyleXfs>
  <cellXfs count="342">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3" fillId="3" borderId="0" xfId="0" applyFont="1" applyFill="1" applyAlignment="1">
      <alignment horizontal="left" vertical="center"/>
    </xf>
    <xf numFmtId="0" fontId="3" fillId="0" borderId="2" xfId="0" applyFont="1" applyBorder="1" applyAlignment="1">
      <alignment horizontal="left"/>
    </xf>
    <xf numFmtId="0" fontId="3" fillId="0" borderId="2" xfId="0" applyFont="1" applyBorder="1"/>
    <xf numFmtId="0" fontId="3" fillId="0" borderId="2" xfId="0" applyFont="1" applyBorder="1" applyAlignment="1">
      <alignment horizontal="center"/>
    </xf>
    <xf numFmtId="49" fontId="3" fillId="0" borderId="2" xfId="0" applyNumberFormat="1" applyFont="1" applyBorder="1" applyAlignment="1">
      <alignment horizontal="center"/>
    </xf>
    <xf numFmtId="49" fontId="3" fillId="0" borderId="2" xfId="0" applyNumberFormat="1" applyFont="1" applyBorder="1" applyAlignment="1">
      <alignment horizontal="center" vertical="center"/>
    </xf>
    <xf numFmtId="0" fontId="3" fillId="0" borderId="2" xfId="0" applyFont="1" applyBorder="1" applyAlignment="1">
      <alignment horizontal="right"/>
    </xf>
    <xf numFmtId="0" fontId="3" fillId="3" borderId="2" xfId="0" applyFont="1" applyFill="1" applyBorder="1" applyAlignment="1">
      <alignment horizontal="right"/>
    </xf>
    <xf numFmtId="0" fontId="6" fillId="0" borderId="1" xfId="0" applyFont="1" applyBorder="1" applyAlignment="1">
      <alignment horizontal="center" vertical="center"/>
    </xf>
    <xf numFmtId="0" fontId="3"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3" fillId="0" borderId="0" xfId="0" applyFont="1" applyAlignment="1">
      <alignment horizontal="center" vertical="center"/>
    </xf>
    <xf numFmtId="0" fontId="3" fillId="3" borderId="1" xfId="0" applyFont="1" applyFill="1" applyBorder="1" applyAlignment="1">
      <alignment horizontal="center" vertical="center" wrapText="1"/>
    </xf>
    <xf numFmtId="0" fontId="6" fillId="0" borderId="0" xfId="0" applyFont="1"/>
    <xf numFmtId="0" fontId="6" fillId="0" borderId="0" xfId="0" applyFont="1" applyAlignment="1">
      <alignment horizontal="center"/>
    </xf>
    <xf numFmtId="0" fontId="6" fillId="0" borderId="0" xfId="0" applyFont="1" applyAlignment="1">
      <alignment horizontal="left"/>
    </xf>
    <xf numFmtId="164" fontId="3" fillId="3"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6" fillId="0" borderId="1" xfId="0" applyFont="1" applyBorder="1" applyAlignment="1">
      <alignment horizontal="left" vertical="center" wrapText="1"/>
    </xf>
    <xf numFmtId="0" fontId="2" fillId="0" borderId="0" xfId="0" applyFont="1" applyAlignment="1">
      <alignment horizontal="right" vertical="center" wrapText="1"/>
    </xf>
    <xf numFmtId="49" fontId="3" fillId="0" borderId="0" xfId="0" applyNumberFormat="1" applyFont="1" applyAlignment="1">
      <alignment horizontal="center" vertical="center"/>
    </xf>
    <xf numFmtId="0" fontId="3" fillId="0" borderId="6" xfId="0" applyFont="1" applyBorder="1" applyAlignment="1">
      <alignment horizontal="left"/>
    </xf>
    <xf numFmtId="0" fontId="3" fillId="0" borderId="3" xfId="0" applyFont="1" applyBorder="1" applyAlignment="1">
      <alignment horizontal="center"/>
    </xf>
    <xf numFmtId="49" fontId="3" fillId="0" borderId="3" xfId="0" applyNumberFormat="1" applyFont="1" applyBorder="1" applyAlignment="1">
      <alignment horizontal="center"/>
    </xf>
    <xf numFmtId="49" fontId="3" fillId="0" borderId="3" xfId="0" applyNumberFormat="1" applyFont="1" applyBorder="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xf>
    <xf numFmtId="164" fontId="6" fillId="0" borderId="0" xfId="0" applyNumberFormat="1" applyFont="1" applyAlignment="1">
      <alignment horizontal="right" vertical="center"/>
    </xf>
    <xf numFmtId="0" fontId="6" fillId="3" borderId="0" xfId="0" applyFont="1" applyFill="1"/>
    <xf numFmtId="0" fontId="6" fillId="0" borderId="5" xfId="0" applyFont="1" applyBorder="1" applyAlignment="1">
      <alignment horizontal="left" vertical="center" wrapText="1"/>
    </xf>
    <xf numFmtId="164" fontId="3" fillId="3" borderId="0" xfId="0" applyNumberFormat="1" applyFont="1" applyFill="1" applyAlignment="1">
      <alignment horizontal="center" vertical="center" wrapText="1"/>
    </xf>
    <xf numFmtId="0" fontId="3" fillId="3" borderId="7" xfId="0" applyFont="1" applyFill="1" applyBorder="1" applyAlignment="1">
      <alignment horizontal="center" vertical="center" wrapText="1"/>
    </xf>
    <xf numFmtId="49" fontId="3" fillId="0" borderId="5" xfId="0" applyNumberFormat="1" applyFont="1" applyBorder="1" applyAlignment="1">
      <alignment horizontal="center" vertical="center"/>
    </xf>
    <xf numFmtId="0" fontId="3" fillId="0" borderId="5" xfId="0" applyFont="1" applyBorder="1" applyAlignment="1">
      <alignment horizontal="center" vertical="center"/>
    </xf>
    <xf numFmtId="164" fontId="3" fillId="0" borderId="1" xfId="0" applyNumberFormat="1" applyFont="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left" vertical="center"/>
    </xf>
    <xf numFmtId="0" fontId="9" fillId="5" borderId="1" xfId="0" applyFont="1" applyFill="1" applyBorder="1" applyAlignment="1">
      <alignment horizontal="left" vertical="center" wrapText="1"/>
    </xf>
    <xf numFmtId="49" fontId="2" fillId="5" borderId="5" xfId="0" applyNumberFormat="1" applyFont="1" applyFill="1" applyBorder="1" applyAlignment="1">
      <alignment horizontal="center" vertical="center"/>
    </xf>
    <xf numFmtId="0" fontId="9" fillId="5"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11" fillId="0" borderId="0" xfId="0" applyFont="1" applyAlignment="1">
      <alignment horizontal="left" vertical="center"/>
    </xf>
    <xf numFmtId="0" fontId="11" fillId="0" borderId="2" xfId="0" applyFont="1" applyBorder="1" applyAlignment="1">
      <alignment horizontal="left"/>
    </xf>
    <xf numFmtId="0" fontId="11" fillId="0" borderId="3" xfId="0" applyFont="1" applyBorder="1" applyAlignment="1">
      <alignment horizontal="left"/>
    </xf>
    <xf numFmtId="0" fontId="11" fillId="0" borderId="0" xfId="0" applyFont="1" applyAlignment="1">
      <alignment horizontal="left"/>
    </xf>
    <xf numFmtId="0" fontId="12" fillId="0" borderId="0" xfId="0" applyFont="1" applyAlignment="1">
      <alignment horizontal="left"/>
    </xf>
    <xf numFmtId="0" fontId="12" fillId="0" borderId="0" xfId="0" applyFont="1" applyAlignment="1">
      <alignment horizontal="left" vertical="center"/>
    </xf>
    <xf numFmtId="0" fontId="6" fillId="0" borderId="1"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4" fillId="0" borderId="1" xfId="0" applyFont="1" applyBorder="1" applyAlignment="1">
      <alignment vertical="center"/>
    </xf>
    <xf numFmtId="0" fontId="15" fillId="0" borderId="1" xfId="1" applyFont="1" applyBorder="1" applyAlignment="1">
      <alignment vertical="center"/>
    </xf>
    <xf numFmtId="0" fontId="3" fillId="0" borderId="1" xfId="1" applyFont="1" applyBorder="1" applyAlignment="1">
      <alignment vertical="center"/>
    </xf>
    <xf numFmtId="0" fontId="6" fillId="3" borderId="0" xfId="0" applyFont="1" applyFill="1" applyAlignment="1">
      <alignment horizontal="center" vertical="center"/>
    </xf>
    <xf numFmtId="49" fontId="3" fillId="3" borderId="0" xfId="0" applyNumberFormat="1" applyFont="1" applyFill="1" applyAlignment="1">
      <alignment horizontal="center" vertical="center"/>
    </xf>
    <xf numFmtId="49" fontId="3" fillId="0" borderId="12" xfId="0" applyNumberFormat="1" applyFont="1" applyBorder="1" applyAlignment="1">
      <alignment horizontal="center" vertical="center"/>
    </xf>
    <xf numFmtId="0" fontId="3" fillId="0" borderId="0" xfId="0" applyFont="1"/>
    <xf numFmtId="0" fontId="3" fillId="0" borderId="0" xfId="0" applyFont="1" applyAlignment="1">
      <alignment horizontal="left" vertical="center" wrapText="1"/>
    </xf>
    <xf numFmtId="0" fontId="3" fillId="0" borderId="3" xfId="0" applyFont="1" applyBorder="1" applyAlignment="1">
      <alignment wrapText="1"/>
    </xf>
    <xf numFmtId="0" fontId="6" fillId="0" borderId="0" xfId="0" applyFont="1" applyAlignment="1">
      <alignment wrapText="1"/>
    </xf>
    <xf numFmtId="0" fontId="6" fillId="0" borderId="0" xfId="0" applyFont="1" applyAlignment="1">
      <alignment vertical="center" wrapText="1"/>
    </xf>
    <xf numFmtId="0" fontId="3" fillId="8" borderId="1" xfId="0" applyFont="1" applyFill="1" applyBorder="1" applyAlignment="1">
      <alignment horizontal="center" vertical="center" wrapText="1"/>
    </xf>
    <xf numFmtId="49" fontId="3" fillId="8" borderId="1" xfId="0" applyNumberFormat="1" applyFont="1" applyFill="1" applyBorder="1" applyAlignment="1">
      <alignment horizontal="center" vertical="center"/>
    </xf>
    <xf numFmtId="0" fontId="14" fillId="0" borderId="1" xfId="0" applyFont="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vertical="center" wrapText="1"/>
    </xf>
    <xf numFmtId="0" fontId="3" fillId="3" borderId="1" xfId="1" applyFont="1" applyFill="1" applyBorder="1" applyAlignment="1">
      <alignment horizontal="left" vertical="center" wrapText="1"/>
    </xf>
    <xf numFmtId="0" fontId="3" fillId="3" borderId="0" xfId="0" applyFont="1" applyFill="1"/>
    <xf numFmtId="0" fontId="3" fillId="0" borderId="0" xfId="1" applyFont="1" applyAlignment="1">
      <alignment horizontal="center" vertical="center" wrapText="1"/>
    </xf>
    <xf numFmtId="17" fontId="3" fillId="0" borderId="1" xfId="0" applyNumberFormat="1" applyFont="1" applyBorder="1" applyAlignment="1">
      <alignment horizontal="center" vertical="center" wrapText="1"/>
    </xf>
    <xf numFmtId="49" fontId="3" fillId="3" borderId="1" xfId="0" applyNumberFormat="1" applyFont="1" applyFill="1" applyBorder="1" applyAlignment="1">
      <alignment horizontal="center" vertical="center"/>
    </xf>
    <xf numFmtId="0" fontId="3" fillId="3" borderId="1" xfId="1" applyFont="1" applyFill="1" applyBorder="1" applyAlignment="1">
      <alignment vertical="center"/>
    </xf>
    <xf numFmtId="0" fontId="6" fillId="3"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6" fillId="4" borderId="0" xfId="0" applyFont="1" applyFill="1" applyAlignment="1">
      <alignment horizontal="center" vertical="center" wrapText="1"/>
    </xf>
    <xf numFmtId="0" fontId="3" fillId="4" borderId="2"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3" fillId="3" borderId="1" xfId="0" applyFont="1" applyFill="1" applyBorder="1" applyAlignment="1">
      <alignment vertical="center" wrapText="1"/>
    </xf>
    <xf numFmtId="0" fontId="2"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164" fontId="6" fillId="0" borderId="0" xfId="0" applyNumberFormat="1" applyFont="1" applyAlignment="1">
      <alignment horizontal="center" vertical="center"/>
    </xf>
    <xf numFmtId="164" fontId="3" fillId="0" borderId="2" xfId="0" applyNumberFormat="1" applyFont="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3" fillId="3" borderId="1" xfId="0" applyFont="1" applyFill="1" applyBorder="1" applyAlignment="1">
      <alignment vertical="center"/>
    </xf>
    <xf numFmtId="0" fontId="3" fillId="3" borderId="1" xfId="1" applyNumberFormat="1" applyFont="1" applyFill="1" applyBorder="1" applyAlignment="1">
      <alignment vertical="center" wrapText="1"/>
    </xf>
    <xf numFmtId="0" fontId="3" fillId="3" borderId="1" xfId="0" applyFont="1" applyFill="1" applyBorder="1" applyAlignment="1">
      <alignment horizontal="left" vertical="center"/>
    </xf>
    <xf numFmtId="0" fontId="14" fillId="3" borderId="1" xfId="0" applyFont="1" applyFill="1" applyBorder="1" applyAlignment="1">
      <alignment vertical="center"/>
    </xf>
    <xf numFmtId="0" fontId="11" fillId="3" borderId="1" xfId="0" applyFont="1" applyFill="1" applyBorder="1" applyAlignment="1">
      <alignment horizontal="left" vertical="center"/>
    </xf>
    <xf numFmtId="0" fontId="13" fillId="3" borderId="1" xfId="0" applyFont="1" applyFill="1" applyBorder="1" applyAlignment="1">
      <alignment horizontal="center" vertical="center" wrapText="1"/>
    </xf>
    <xf numFmtId="0" fontId="6" fillId="3" borderId="1" xfId="0" applyFont="1" applyFill="1" applyBorder="1" applyAlignment="1">
      <alignment horizontal="left" vertical="center"/>
    </xf>
    <xf numFmtId="49" fontId="3" fillId="3" borderId="1" xfId="0" applyNumberFormat="1" applyFont="1" applyFill="1" applyBorder="1" applyAlignment="1">
      <alignment horizontal="left" vertical="center" wrapText="1"/>
    </xf>
    <xf numFmtId="0" fontId="3" fillId="3" borderId="0" xfId="0" applyFont="1" applyFill="1" applyAlignment="1">
      <alignment vertical="center"/>
    </xf>
    <xf numFmtId="0" fontId="6" fillId="3" borderId="1" xfId="0" applyFont="1" applyFill="1" applyBorder="1" applyAlignment="1">
      <alignment vertical="center" wrapText="1"/>
    </xf>
    <xf numFmtId="0" fontId="3" fillId="3" borderId="1" xfId="0" applyFont="1" applyFill="1" applyBorder="1" applyAlignment="1">
      <alignment wrapText="1"/>
    </xf>
    <xf numFmtId="49" fontId="3" fillId="3" borderId="1" xfId="0" applyNumberFormat="1" applyFont="1" applyFill="1" applyBorder="1" applyAlignment="1">
      <alignment horizontal="center" vertical="center" wrapText="1"/>
    </xf>
    <xf numFmtId="0" fontId="3" fillId="3" borderId="1" xfId="0"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horizontal="center" vertical="center"/>
      <protection locked="0"/>
    </xf>
    <xf numFmtId="0" fontId="3" fillId="3" borderId="1" xfId="2" applyFont="1" applyFill="1" applyBorder="1" applyAlignment="1">
      <alignment horizontal="center" vertical="center"/>
    </xf>
    <xf numFmtId="0" fontId="3" fillId="3"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protection locked="0"/>
    </xf>
    <xf numFmtId="49" fontId="3" fillId="3" borderId="1" xfId="2" applyNumberFormat="1" applyFont="1" applyFill="1" applyBorder="1" applyAlignment="1">
      <alignment horizontal="left" vertical="center"/>
    </xf>
    <xf numFmtId="49" fontId="3" fillId="3" borderId="1" xfId="2" applyNumberFormat="1" applyFont="1" applyFill="1" applyBorder="1" applyAlignment="1">
      <alignment horizontal="left" vertical="center" wrapText="1"/>
    </xf>
    <xf numFmtId="0" fontId="3"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49" fontId="3" fillId="3" borderId="1" xfId="2" applyNumberFormat="1" applyFont="1" applyFill="1" applyBorder="1" applyAlignment="1">
      <alignment horizontal="center" vertical="center"/>
    </xf>
    <xf numFmtId="0" fontId="3" fillId="3" borderId="1" xfId="2" applyFont="1" applyFill="1" applyBorder="1" applyAlignment="1" applyProtection="1">
      <alignment horizontal="left" vertical="center" wrapText="1"/>
      <protection locked="0"/>
    </xf>
    <xf numFmtId="49" fontId="3" fillId="3" borderId="13" xfId="0" applyNumberFormat="1" applyFont="1" applyFill="1" applyBorder="1" applyAlignment="1">
      <alignment horizontal="center" vertical="center"/>
    </xf>
    <xf numFmtId="164"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9" xfId="0" applyFont="1" applyFill="1" applyBorder="1" applyAlignment="1">
      <alignment horizontal="center" vertical="center" wrapText="1"/>
    </xf>
    <xf numFmtId="164" fontId="3" fillId="0" borderId="1" xfId="0" applyNumberFormat="1" applyFont="1" applyBorder="1" applyAlignment="1">
      <alignment horizontal="center" vertical="center"/>
    </xf>
    <xf numFmtId="0" fontId="6" fillId="3" borderId="0" xfId="0" applyFont="1" applyFill="1" applyAlignment="1">
      <alignment vertical="center"/>
    </xf>
    <xf numFmtId="0" fontId="3"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7" fontId="6" fillId="0" borderId="1" xfId="0" applyNumberFormat="1" applyFont="1" applyBorder="1" applyAlignment="1">
      <alignment horizontal="center" vertical="center" wrapText="1"/>
    </xf>
    <xf numFmtId="0" fontId="0" fillId="0" borderId="0" xfId="0" applyAlignment="1">
      <alignment wrapText="1"/>
    </xf>
    <xf numFmtId="0" fontId="13" fillId="0" borderId="1" xfId="0" applyFont="1" applyBorder="1" applyAlignment="1">
      <alignment vertical="center" wrapText="1"/>
    </xf>
    <xf numFmtId="0" fontId="6" fillId="0" borderId="1" xfId="0" applyFont="1" applyBorder="1" applyAlignment="1">
      <alignment vertical="center" wrapText="1"/>
    </xf>
    <xf numFmtId="0" fontId="11" fillId="0" borderId="1" xfId="0" applyFont="1" applyBorder="1" applyAlignment="1">
      <alignment horizontal="left" vertical="center" wrapText="1"/>
    </xf>
    <xf numFmtId="0" fontId="6" fillId="0" borderId="1" xfId="0" applyFont="1" applyBorder="1" applyAlignment="1">
      <alignment horizontal="left" vertical="center"/>
    </xf>
    <xf numFmtId="0" fontId="11" fillId="0" borderId="1" xfId="0" applyFont="1" applyBorder="1" applyAlignment="1">
      <alignment horizontal="left" vertical="center"/>
    </xf>
    <xf numFmtId="0" fontId="3" fillId="0" borderId="0" xfId="0" applyFont="1" applyAlignment="1">
      <alignment horizontal="left" wrapText="1"/>
    </xf>
    <xf numFmtId="0" fontId="6" fillId="0" borderId="0" xfId="0" applyFont="1" applyAlignment="1">
      <alignment horizontal="left" wrapText="1"/>
    </xf>
    <xf numFmtId="49" fontId="2" fillId="0" borderId="0" xfId="0" applyNumberFormat="1" applyFont="1" applyAlignment="1">
      <alignment horizontal="left" vertical="center" wrapText="1"/>
    </xf>
    <xf numFmtId="49" fontId="3" fillId="0" borderId="0" xfId="0" applyNumberFormat="1" applyFont="1" applyAlignment="1" applyProtection="1">
      <alignment horizontal="left" vertical="center" wrapText="1"/>
      <protection locked="0"/>
    </xf>
    <xf numFmtId="49" fontId="3" fillId="0" borderId="0" xfId="0" applyNumberFormat="1" applyFont="1" applyAlignment="1">
      <alignment horizontal="left" vertical="center" wrapText="1"/>
    </xf>
    <xf numFmtId="0" fontId="3" fillId="0" borderId="0" xfId="2" applyFont="1" applyAlignment="1">
      <alignment horizontal="left" vertical="center" wrapText="1"/>
    </xf>
    <xf numFmtId="0" fontId="3" fillId="0" borderId="0" xfId="3" applyFont="1" applyAlignment="1">
      <alignment horizontal="left" vertical="center" wrapText="1"/>
    </xf>
    <xf numFmtId="164" fontId="2" fillId="5" borderId="13" xfId="0" applyNumberFormat="1" applyFont="1" applyFill="1" applyBorder="1" applyAlignment="1">
      <alignment vertical="center" wrapText="1"/>
    </xf>
    <xf numFmtId="0" fontId="6" fillId="3" borderId="11" xfId="0" applyFont="1" applyFill="1" applyBorder="1" applyAlignment="1">
      <alignment horizontal="left" vertical="center" wrapText="1"/>
    </xf>
    <xf numFmtId="0" fontId="3" fillId="3" borderId="11" xfId="0" applyFont="1" applyFill="1" applyBorder="1" applyAlignment="1">
      <alignment horizontal="left" vertical="center"/>
    </xf>
    <xf numFmtId="0" fontId="3" fillId="3" borderId="11" xfId="0" applyFont="1" applyFill="1" applyBorder="1" applyAlignment="1">
      <alignment horizontal="left" vertical="center" wrapText="1"/>
    </xf>
    <xf numFmtId="0" fontId="3" fillId="3" borderId="11" xfId="0" applyFont="1" applyFill="1" applyBorder="1" applyAlignment="1" applyProtection="1">
      <alignment horizontal="left" vertical="center" wrapText="1"/>
      <protection locked="0"/>
    </xf>
    <xf numFmtId="0" fontId="2" fillId="5" borderId="22" xfId="0" applyFont="1" applyFill="1" applyBorder="1" applyAlignment="1">
      <alignment horizontal="center" vertical="center" wrapText="1"/>
    </xf>
    <xf numFmtId="164" fontId="6" fillId="5" borderId="23" xfId="0" applyNumberFormat="1" applyFont="1" applyFill="1" applyBorder="1" applyAlignment="1">
      <alignment horizontal="center" vertical="center"/>
    </xf>
    <xf numFmtId="0" fontId="2" fillId="5" borderId="24" xfId="0" applyFont="1" applyFill="1" applyBorder="1" applyAlignment="1">
      <alignment vertical="center" wrapText="1"/>
    </xf>
    <xf numFmtId="0" fontId="3" fillId="3" borderId="15" xfId="1" applyFont="1" applyFill="1" applyBorder="1" applyAlignment="1">
      <alignment horizontal="left" vertical="center" wrapText="1"/>
    </xf>
    <xf numFmtId="0" fontId="2" fillId="2" borderId="22" xfId="0" applyFont="1" applyFill="1" applyBorder="1" applyAlignment="1">
      <alignment horizontal="right" vertical="center"/>
    </xf>
    <xf numFmtId="0" fontId="3" fillId="3" borderId="15" xfId="1" applyFont="1" applyFill="1" applyBorder="1" applyAlignment="1">
      <alignment vertical="center"/>
    </xf>
    <xf numFmtId="0" fontId="3" fillId="3" borderId="15" xfId="0" applyFont="1" applyFill="1" applyBorder="1" applyAlignment="1">
      <alignment vertical="center"/>
    </xf>
    <xf numFmtId="0" fontId="2" fillId="9" borderId="13" xfId="0" applyFont="1" applyFill="1" applyBorder="1" applyAlignment="1">
      <alignment horizontal="left" vertical="center" wrapText="1"/>
    </xf>
    <xf numFmtId="0" fontId="10" fillId="9" borderId="13" xfId="0" applyFont="1" applyFill="1" applyBorder="1" applyAlignment="1">
      <alignment horizontal="left" vertical="center" wrapText="1"/>
    </xf>
    <xf numFmtId="0" fontId="2" fillId="9" borderId="26" xfId="0" applyFont="1" applyFill="1" applyBorder="1" applyAlignment="1">
      <alignment horizontal="left" vertical="center" wrapText="1"/>
    </xf>
    <xf numFmtId="0" fontId="16" fillId="0" borderId="11" xfId="0" applyFont="1" applyBorder="1" applyAlignment="1">
      <alignment horizontal="left" wrapText="1"/>
    </xf>
    <xf numFmtId="0" fontId="6" fillId="0" borderId="21" xfId="0" applyFont="1" applyBorder="1" applyAlignment="1">
      <alignment horizontal="left"/>
    </xf>
    <xf numFmtId="0" fontId="12" fillId="0" borderId="21" xfId="0" applyFont="1" applyBorder="1" applyAlignment="1">
      <alignment horizontal="left"/>
    </xf>
    <xf numFmtId="164" fontId="6" fillId="5" borderId="25" xfId="0" applyNumberFormat="1" applyFont="1" applyFill="1" applyBorder="1" applyAlignment="1">
      <alignment horizontal="center" vertical="center"/>
    </xf>
    <xf numFmtId="166" fontId="3" fillId="3" borderId="16" xfId="0" applyNumberFormat="1" applyFont="1" applyFill="1" applyBorder="1" applyAlignment="1">
      <alignment horizontal="center" vertical="center"/>
    </xf>
    <xf numFmtId="0" fontId="9" fillId="0" borderId="0" xfId="0" applyFont="1" applyAlignment="1">
      <alignment horizontal="left" wrapText="1"/>
    </xf>
    <xf numFmtId="0" fontId="14" fillId="3" borderId="1" xfId="0" applyFont="1" applyFill="1" applyBorder="1" applyAlignment="1">
      <alignment vertical="center" wrapText="1"/>
    </xf>
    <xf numFmtId="0" fontId="3" fillId="2" borderId="28" xfId="0" applyFont="1" applyFill="1" applyBorder="1" applyAlignment="1">
      <alignment vertical="center"/>
    </xf>
    <xf numFmtId="0" fontId="3" fillId="2" borderId="29" xfId="0" applyFont="1" applyFill="1" applyBorder="1" applyAlignment="1">
      <alignment vertical="center"/>
    </xf>
    <xf numFmtId="0" fontId="8" fillId="3" borderId="31" xfId="0" applyFont="1" applyFill="1" applyBorder="1" applyAlignment="1">
      <alignment vertical="center"/>
    </xf>
    <xf numFmtId="0" fontId="9" fillId="2" borderId="29" xfId="0" applyFont="1" applyFill="1" applyBorder="1" applyAlignment="1">
      <alignment horizontal="left" vertical="center" wrapText="1"/>
    </xf>
    <xf numFmtId="0" fontId="3" fillId="2" borderId="33" xfId="0" applyFont="1" applyFill="1" applyBorder="1" applyAlignment="1">
      <alignment horizontal="left" wrapText="1"/>
    </xf>
    <xf numFmtId="165" fontId="2" fillId="11" borderId="34" xfId="0" applyNumberFormat="1" applyFont="1" applyFill="1" applyBorder="1" applyAlignment="1">
      <alignment vertical="center" wrapText="1"/>
    </xf>
    <xf numFmtId="0" fontId="3" fillId="3" borderId="16" xfId="1" applyFont="1" applyFill="1" applyBorder="1" applyAlignment="1">
      <alignment vertical="center"/>
    </xf>
    <xf numFmtId="0" fontId="8" fillId="3" borderId="31" xfId="0" applyFont="1" applyFill="1" applyBorder="1" applyAlignment="1">
      <alignment horizontal="center" vertical="center"/>
    </xf>
    <xf numFmtId="0" fontId="15" fillId="0" borderId="1" xfId="1" applyFont="1" applyFill="1" applyBorder="1" applyAlignment="1">
      <alignment vertical="center"/>
    </xf>
    <xf numFmtId="0" fontId="15" fillId="0" borderId="0" xfId="1" applyFont="1" applyAlignment="1">
      <alignment vertical="center"/>
    </xf>
    <xf numFmtId="0" fontId="10" fillId="9" borderId="1" xfId="0" applyFont="1" applyFill="1" applyBorder="1" applyAlignment="1">
      <alignment horizontal="left" vertical="center" wrapText="1"/>
    </xf>
    <xf numFmtId="0" fontId="2" fillId="9" borderId="1" xfId="0" applyFont="1" applyFill="1" applyBorder="1" applyAlignment="1">
      <alignment horizontal="left" vertical="center" wrapText="1"/>
    </xf>
    <xf numFmtId="0" fontId="16" fillId="0" borderId="0" xfId="0" applyFont="1" applyAlignment="1">
      <alignment horizontal="left"/>
    </xf>
    <xf numFmtId="0" fontId="3" fillId="12" borderId="1" xfId="0" applyFont="1" applyFill="1" applyBorder="1" applyAlignment="1">
      <alignment vertical="center" wrapText="1"/>
    </xf>
    <xf numFmtId="164" fontId="3" fillId="12" borderId="1" xfId="0" applyNumberFormat="1" applyFont="1" applyFill="1" applyBorder="1" applyAlignment="1">
      <alignment horizontal="center" vertical="center" wrapText="1"/>
    </xf>
    <xf numFmtId="0" fontId="3" fillId="3" borderId="17" xfId="1" applyFont="1" applyFill="1" applyBorder="1" applyAlignment="1">
      <alignment horizontal="left" vertical="center" wrapText="1"/>
    </xf>
    <xf numFmtId="164" fontId="3" fillId="3" borderId="18" xfId="0" applyNumberFormat="1" applyFont="1" applyFill="1" applyBorder="1" applyAlignment="1">
      <alignment horizontal="center" vertical="center"/>
    </xf>
    <xf numFmtId="166" fontId="3" fillId="3" borderId="19" xfId="0" applyNumberFormat="1" applyFont="1" applyFill="1" applyBorder="1" applyAlignment="1">
      <alignment horizontal="center" vertical="center"/>
    </xf>
    <xf numFmtId="0" fontId="6" fillId="0" borderId="15" xfId="0" applyFont="1" applyBorder="1" applyAlignment="1">
      <alignment vertical="center" wrapText="1"/>
    </xf>
    <xf numFmtId="166" fontId="6" fillId="0" borderId="16" xfId="0" applyNumberFormat="1" applyFont="1" applyBorder="1" applyAlignment="1">
      <alignment horizontal="center" vertical="center" wrapText="1"/>
    </xf>
    <xf numFmtId="0" fontId="6" fillId="0" borderId="15" xfId="0" applyFont="1" applyBorder="1" applyAlignment="1">
      <alignment wrapText="1"/>
    </xf>
    <xf numFmtId="166" fontId="3" fillId="0" borderId="16" xfId="0" applyNumberFormat="1" applyFont="1" applyBorder="1" applyAlignment="1">
      <alignment horizontal="center" vertical="center" wrapText="1"/>
    </xf>
    <xf numFmtId="0" fontId="6" fillId="3" borderId="15" xfId="0" applyFont="1" applyFill="1" applyBorder="1" applyAlignment="1">
      <alignment vertical="center" wrapText="1"/>
    </xf>
    <xf numFmtId="166" fontId="3" fillId="3" borderId="16" xfId="0" applyNumberFormat="1" applyFont="1" applyFill="1" applyBorder="1" applyAlignment="1">
      <alignment horizontal="center" vertical="center" wrapText="1"/>
    </xf>
    <xf numFmtId="0" fontId="3" fillId="0" borderId="15" xfId="1" applyFont="1" applyBorder="1" applyAlignment="1">
      <alignment vertical="center" wrapText="1"/>
    </xf>
    <xf numFmtId="0" fontId="8" fillId="3" borderId="15" xfId="0" applyFont="1" applyFill="1" applyBorder="1" applyAlignment="1">
      <alignment vertical="center" wrapText="1"/>
    </xf>
    <xf numFmtId="166" fontId="8" fillId="3" borderId="16" xfId="0" applyNumberFormat="1" applyFont="1" applyFill="1" applyBorder="1" applyAlignment="1">
      <alignment horizontal="center" vertical="center" wrapText="1"/>
    </xf>
    <xf numFmtId="0" fontId="8" fillId="3" borderId="17" xfId="0" applyFont="1" applyFill="1" applyBorder="1" applyAlignment="1">
      <alignment vertical="center" wrapText="1"/>
    </xf>
    <xf numFmtId="166" fontId="8" fillId="3" borderId="19" xfId="0" applyNumberFormat="1" applyFont="1" applyFill="1" applyBorder="1" applyAlignment="1">
      <alignment horizontal="center" vertical="center" wrapText="1"/>
    </xf>
    <xf numFmtId="0" fontId="8" fillId="3" borderId="32" xfId="0" applyFont="1" applyFill="1" applyBorder="1" applyAlignment="1">
      <alignment horizontal="center" vertical="center"/>
    </xf>
    <xf numFmtId="0" fontId="9" fillId="2" borderId="23" xfId="0" applyFont="1" applyFill="1" applyBorder="1" applyAlignment="1">
      <alignment horizontal="left" vertical="center"/>
    </xf>
    <xf numFmtId="0" fontId="2" fillId="2" borderId="15" xfId="0" applyFont="1" applyFill="1" applyBorder="1" applyAlignment="1">
      <alignment vertical="center"/>
    </xf>
    <xf numFmtId="0" fontId="2" fillId="2" borderId="20" xfId="0" applyFont="1" applyFill="1" applyBorder="1" applyAlignment="1">
      <alignment vertical="center"/>
    </xf>
    <xf numFmtId="0" fontId="6" fillId="3" borderId="35" xfId="0" applyFont="1" applyFill="1" applyBorder="1"/>
    <xf numFmtId="164" fontId="6" fillId="2" borderId="29" xfId="0" applyNumberFormat="1" applyFont="1" applyFill="1" applyBorder="1" applyAlignment="1">
      <alignment horizontal="center" vertical="center"/>
    </xf>
    <xf numFmtId="164" fontId="6" fillId="7" borderId="0" xfId="0" applyNumberFormat="1" applyFont="1" applyFill="1" applyAlignment="1">
      <alignment horizontal="center" vertical="center"/>
    </xf>
    <xf numFmtId="0" fontId="6" fillId="7" borderId="0" xfId="0" applyFont="1" applyFill="1" applyAlignment="1">
      <alignment vertical="center"/>
    </xf>
    <xf numFmtId="0" fontId="3" fillId="7" borderId="0" xfId="0" applyFont="1" applyFill="1"/>
    <xf numFmtId="0" fontId="6" fillId="7" borderId="0" xfId="0" applyFont="1" applyFill="1"/>
    <xf numFmtId="0" fontId="6" fillId="7" borderId="36" xfId="0" applyFont="1" applyFill="1" applyBorder="1"/>
    <xf numFmtId="0" fontId="2" fillId="9" borderId="11" xfId="0" applyFont="1" applyFill="1" applyBorder="1" applyAlignment="1">
      <alignment horizontal="left" vertical="center" wrapText="1"/>
    </xf>
    <xf numFmtId="0" fontId="6" fillId="3" borderId="37" xfId="0" applyFont="1" applyFill="1" applyBorder="1"/>
    <xf numFmtId="0" fontId="3" fillId="3" borderId="21" xfId="1" applyFont="1" applyFill="1" applyBorder="1" applyAlignment="1">
      <alignment vertical="center"/>
    </xf>
    <xf numFmtId="0" fontId="3" fillId="3" borderId="21" xfId="0" applyFont="1" applyFill="1" applyBorder="1" applyAlignment="1">
      <alignment vertical="center"/>
    </xf>
    <xf numFmtId="0" fontId="2" fillId="2" borderId="27" xfId="0" applyFont="1" applyFill="1" applyBorder="1" applyAlignment="1">
      <alignment vertical="center"/>
    </xf>
    <xf numFmtId="0" fontId="8" fillId="3" borderId="37" xfId="0" applyFont="1" applyFill="1" applyBorder="1" applyAlignment="1">
      <alignment vertical="center"/>
    </xf>
    <xf numFmtId="0" fontId="8" fillId="3" borderId="37" xfId="0" applyFont="1" applyFill="1" applyBorder="1" applyAlignment="1">
      <alignment horizontal="center" vertical="center" wrapText="1"/>
    </xf>
    <xf numFmtId="0" fontId="8" fillId="3" borderId="38" xfId="0" applyFont="1" applyFill="1" applyBorder="1" applyAlignment="1">
      <alignment vertical="center"/>
    </xf>
    <xf numFmtId="0" fontId="8" fillId="3" borderId="0" xfId="0" applyFont="1" applyFill="1" applyAlignment="1">
      <alignment vertical="center"/>
    </xf>
    <xf numFmtId="0" fontId="3" fillId="3" borderId="5" xfId="0" applyFont="1" applyFill="1" applyBorder="1" applyAlignment="1">
      <alignment vertical="center"/>
    </xf>
    <xf numFmtId="0" fontId="8" fillId="3" borderId="36" xfId="0" applyFont="1" applyFill="1" applyBorder="1" applyAlignment="1">
      <alignment vertical="center"/>
    </xf>
    <xf numFmtId="0" fontId="13" fillId="0" borderId="1" xfId="0" applyFont="1" applyBorder="1" applyAlignment="1">
      <alignment horizontal="center" vertical="center"/>
    </xf>
    <xf numFmtId="49" fontId="3" fillId="3" borderId="0" xfId="1" applyNumberFormat="1" applyFont="1" applyFill="1" applyBorder="1" applyAlignment="1" applyProtection="1">
      <alignment horizontal="center" vertical="center"/>
    </xf>
    <xf numFmtId="0" fontId="17" fillId="3" borderId="1" xfId="0" applyFont="1" applyFill="1" applyBorder="1" applyAlignment="1">
      <alignment horizontal="center" vertical="center" wrapText="1"/>
    </xf>
    <xf numFmtId="0" fontId="6" fillId="3" borderId="1" xfId="0" applyFont="1" applyFill="1" applyBorder="1" applyAlignment="1">
      <alignment vertical="center"/>
    </xf>
    <xf numFmtId="0" fontId="15" fillId="3" borderId="1" xfId="1" applyFont="1" applyFill="1" applyBorder="1" applyAlignment="1">
      <alignment vertical="center"/>
    </xf>
    <xf numFmtId="0" fontId="17" fillId="3" borderId="1" xfId="0" applyFont="1" applyFill="1" applyBorder="1" applyAlignment="1">
      <alignment vertical="center"/>
    </xf>
    <xf numFmtId="49"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wrapText="1"/>
    </xf>
    <xf numFmtId="0" fontId="14" fillId="3" borderId="1" xfId="0" applyFont="1" applyFill="1" applyBorder="1" applyAlignment="1">
      <alignment horizontal="left" vertical="center" wrapText="1"/>
    </xf>
    <xf numFmtId="0" fontId="3" fillId="0" borderId="11" xfId="0" applyFont="1" applyBorder="1" applyAlignment="1">
      <alignment horizontal="left" vertical="center" wrapText="1"/>
    </xf>
    <xf numFmtId="0" fontId="0" fillId="0" borderId="0" xfId="0" applyAlignment="1">
      <alignment horizontal="left"/>
    </xf>
    <xf numFmtId="0" fontId="3" fillId="0" borderId="1" xfId="1" applyFont="1" applyFill="1" applyBorder="1" applyAlignment="1">
      <alignment horizontal="left" vertical="center" wrapText="1"/>
    </xf>
    <xf numFmtId="0" fontId="18" fillId="0" borderId="1" xfId="0" applyFont="1" applyBorder="1" applyAlignment="1">
      <alignment horizontal="center" vertical="center"/>
    </xf>
    <xf numFmtId="0" fontId="2" fillId="2" borderId="1" xfId="0" applyFont="1" applyFill="1" applyBorder="1" applyAlignment="1">
      <alignment vertical="center" wrapText="1"/>
    </xf>
    <xf numFmtId="0" fontId="3" fillId="0" borderId="1" xfId="1" applyFont="1" applyFill="1" applyBorder="1" applyAlignment="1">
      <alignment vertical="center" wrapText="1"/>
    </xf>
    <xf numFmtId="0" fontId="3" fillId="0" borderId="1" xfId="0" applyFont="1" applyBorder="1" applyAlignment="1">
      <alignment vertical="center"/>
    </xf>
    <xf numFmtId="0" fontId="3" fillId="10" borderId="1" xfId="1" applyFont="1" applyFill="1" applyBorder="1" applyAlignment="1">
      <alignment horizontal="left" vertical="center" wrapText="1"/>
    </xf>
    <xf numFmtId="0" fontId="8" fillId="3" borderId="1" xfId="0" applyFont="1" applyFill="1" applyBorder="1" applyAlignment="1">
      <alignment horizontal="center" vertical="center" wrapText="1"/>
    </xf>
    <xf numFmtId="0" fontId="3" fillId="3" borderId="1" xfId="1" applyFont="1" applyFill="1" applyBorder="1" applyAlignment="1">
      <alignment vertical="center" wrapText="1"/>
    </xf>
    <xf numFmtId="0" fontId="3" fillId="0" borderId="0" xfId="0" applyFont="1" applyAlignment="1">
      <alignment horizontal="left"/>
    </xf>
    <xf numFmtId="0" fontId="3" fillId="0" borderId="0" xfId="1" applyFont="1" applyFill="1" applyBorder="1" applyAlignment="1" applyProtection="1">
      <alignment horizontal="left"/>
    </xf>
    <xf numFmtId="49" fontId="3" fillId="0" borderId="0" xfId="1" applyNumberFormat="1" applyFont="1" applyFill="1" applyBorder="1" applyAlignment="1">
      <alignment horizontal="left" vertical="center"/>
    </xf>
    <xf numFmtId="0" fontId="3" fillId="3" borderId="0" xfId="0" applyFont="1" applyFill="1" applyAlignment="1">
      <alignment horizontal="right" vertical="center"/>
    </xf>
    <xf numFmtId="49" fontId="3" fillId="3" borderId="0" xfId="1" applyNumberFormat="1" applyFont="1" applyFill="1" applyBorder="1" applyAlignment="1" applyProtection="1">
      <alignment horizontal="left" vertical="center"/>
    </xf>
    <xf numFmtId="0" fontId="2"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3" fillId="13" borderId="1" xfId="0" applyFont="1" applyFill="1" applyBorder="1" applyAlignment="1">
      <alignment vertical="center"/>
    </xf>
    <xf numFmtId="0" fontId="19" fillId="0" borderId="1" xfId="0" applyFont="1" applyBorder="1" applyAlignment="1">
      <alignment horizontal="center" vertical="center"/>
    </xf>
    <xf numFmtId="0" fontId="3" fillId="0" borderId="1" xfId="1" applyFont="1" applyBorder="1" applyAlignment="1">
      <alignment horizontal="left" vertical="center" wrapText="1"/>
    </xf>
    <xf numFmtId="0" fontId="3" fillId="0" borderId="9" xfId="0" applyFont="1" applyBorder="1" applyAlignment="1">
      <alignment horizontal="left" vertical="center"/>
    </xf>
    <xf numFmtId="0" fontId="3" fillId="0" borderId="8" xfId="0" applyFont="1" applyBorder="1" applyAlignment="1">
      <alignment horizontal="left" vertical="center" wrapText="1"/>
    </xf>
    <xf numFmtId="0" fontId="13" fillId="0" borderId="13" xfId="0" applyFont="1" applyBorder="1" applyAlignment="1">
      <alignment vertical="center" wrapText="1"/>
    </xf>
    <xf numFmtId="0" fontId="3" fillId="0" borderId="9" xfId="0" applyFont="1" applyBorder="1" applyAlignment="1">
      <alignment vertical="center" wrapText="1"/>
    </xf>
    <xf numFmtId="0" fontId="13" fillId="0" borderId="8" xfId="0" applyFont="1" applyBorder="1" applyAlignment="1">
      <alignment vertical="center" wrapText="1"/>
    </xf>
    <xf numFmtId="0" fontId="3" fillId="0" borderId="9" xfId="0" applyFont="1" applyBorder="1" applyAlignment="1">
      <alignment horizontal="left" vertical="center" wrapText="1"/>
    </xf>
    <xf numFmtId="0" fontId="11" fillId="0" borderId="8" xfId="0" applyFont="1" applyBorder="1" applyAlignment="1">
      <alignment horizontal="left" vertical="center" wrapText="1"/>
    </xf>
    <xf numFmtId="0" fontId="6" fillId="0" borderId="13" xfId="0" applyFont="1" applyBorder="1" applyAlignment="1">
      <alignment vertical="center" wrapText="1"/>
    </xf>
    <xf numFmtId="49" fontId="3" fillId="3" borderId="0" xfId="0" applyNumberFormat="1" applyFont="1" applyFill="1" applyAlignment="1">
      <alignment horizontal="left" vertical="center" wrapText="1"/>
    </xf>
    <xf numFmtId="0" fontId="3" fillId="0" borderId="10" xfId="0" applyFont="1" applyBorder="1" applyAlignment="1">
      <alignment vertical="center" wrapText="1"/>
    </xf>
    <xf numFmtId="0" fontId="3" fillId="0" borderId="12" xfId="0" applyFont="1" applyBorder="1" applyAlignment="1">
      <alignment horizontal="center" vertical="center" wrapText="1"/>
    </xf>
    <xf numFmtId="0" fontId="6" fillId="0" borderId="13" xfId="0" applyFont="1" applyBorder="1" applyAlignment="1">
      <alignment horizontal="center" vertical="center"/>
    </xf>
    <xf numFmtId="49" fontId="3" fillId="0" borderId="8" xfId="0" applyNumberFormat="1" applyFont="1" applyBorder="1" applyAlignment="1">
      <alignment horizontal="center" vertical="center"/>
    </xf>
    <xf numFmtId="49" fontId="3" fillId="0" borderId="13" xfId="0" applyNumberFormat="1" applyFont="1" applyBorder="1" applyAlignment="1">
      <alignment horizontal="center" vertical="center"/>
    </xf>
    <xf numFmtId="0" fontId="3" fillId="0" borderId="8" xfId="0" applyFont="1" applyBorder="1" applyAlignment="1">
      <alignment horizontal="center" vertical="center"/>
    </xf>
    <xf numFmtId="0" fontId="3" fillId="3" borderId="0" xfId="0" applyFont="1" applyFill="1" applyAlignment="1">
      <alignment horizontal="center" vertical="center"/>
    </xf>
    <xf numFmtId="0" fontId="3" fillId="0" borderId="14" xfId="0" applyFont="1" applyBorder="1" applyAlignment="1">
      <alignment horizontal="center" vertical="center"/>
    </xf>
    <xf numFmtId="0" fontId="3" fillId="10" borderId="0" xfId="0" applyFont="1" applyFill="1" applyAlignment="1">
      <alignment horizontal="center" vertical="center" wrapText="1"/>
    </xf>
    <xf numFmtId="0" fontId="3" fillId="0" borderId="9" xfId="0" applyFont="1" applyBorder="1" applyAlignment="1">
      <alignment horizontal="center" vertical="center"/>
    </xf>
    <xf numFmtId="0" fontId="3" fillId="0" borderId="13" xfId="0" applyFont="1" applyBorder="1" applyAlignment="1">
      <alignment horizontal="center" vertical="center" wrapText="1"/>
    </xf>
    <xf numFmtId="0" fontId="3" fillId="0" borderId="9" xfId="1" applyFont="1" applyBorder="1" applyAlignment="1">
      <alignment vertical="center"/>
    </xf>
    <xf numFmtId="0" fontId="3" fillId="3" borderId="13" xfId="1" applyFont="1" applyFill="1" applyBorder="1" applyAlignment="1">
      <alignment vertical="center"/>
    </xf>
    <xf numFmtId="0" fontId="3" fillId="3" borderId="13" xfId="1" applyFont="1" applyFill="1" applyBorder="1" applyAlignment="1">
      <alignment horizontal="left" vertical="center" wrapText="1"/>
    </xf>
    <xf numFmtId="0" fontId="3" fillId="0" borderId="13" xfId="1" applyFont="1" applyBorder="1" applyAlignment="1">
      <alignment vertical="center"/>
    </xf>
    <xf numFmtId="0" fontId="3" fillId="3" borderId="9" xfId="0" applyFont="1" applyFill="1" applyBorder="1" applyAlignment="1">
      <alignment vertical="center" wrapText="1"/>
    </xf>
    <xf numFmtId="0" fontId="3" fillId="12" borderId="9" xfId="0" applyFont="1" applyFill="1" applyBorder="1" applyAlignment="1">
      <alignment vertical="center" wrapText="1"/>
    </xf>
    <xf numFmtId="0" fontId="3" fillId="0" borderId="13" xfId="0" applyFont="1" applyBorder="1" applyAlignment="1">
      <alignment vertical="center" wrapText="1"/>
    </xf>
    <xf numFmtId="164" fontId="3" fillId="0" borderId="9" xfId="0" applyNumberFormat="1" applyFont="1" applyBorder="1" applyAlignment="1">
      <alignment horizontal="center" vertical="center" wrapText="1"/>
    </xf>
    <xf numFmtId="164" fontId="3" fillId="3" borderId="9" xfId="0" applyNumberFormat="1" applyFont="1" applyFill="1" applyBorder="1" applyAlignment="1">
      <alignment horizontal="center" vertical="center" wrapText="1"/>
    </xf>
    <xf numFmtId="164" fontId="3" fillId="0" borderId="13" xfId="0" applyNumberFormat="1" applyFont="1" applyBorder="1" applyAlignment="1">
      <alignment horizontal="center" vertical="center" wrapText="1"/>
    </xf>
    <xf numFmtId="0" fontId="3" fillId="0" borderId="9" xfId="0" applyFont="1" applyBorder="1" applyAlignment="1">
      <alignment horizontal="center" vertical="center" wrapText="1"/>
    </xf>
    <xf numFmtId="164" fontId="3" fillId="0" borderId="10" xfId="0" applyNumberFormat="1" applyFont="1" applyBorder="1" applyAlignment="1">
      <alignment horizontal="center" vertical="center" wrapText="1"/>
    </xf>
    <xf numFmtId="0" fontId="6" fillId="7"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0" borderId="13" xfId="1" applyFont="1" applyBorder="1" applyAlignment="1">
      <alignment horizontal="left" vertical="center" wrapText="1"/>
    </xf>
    <xf numFmtId="0" fontId="6" fillId="0" borderId="0" xfId="1" applyFont="1" applyFill="1" applyBorder="1" applyAlignment="1" applyProtection="1">
      <alignment horizontal="left"/>
    </xf>
    <xf numFmtId="0" fontId="3" fillId="7" borderId="1" xfId="0" applyFont="1" applyFill="1" applyBorder="1" applyAlignment="1">
      <alignment horizontal="center" vertical="center" wrapText="1"/>
    </xf>
    <xf numFmtId="0" fontId="6" fillId="13" borderId="1" xfId="0" applyFont="1" applyFill="1" applyBorder="1" applyAlignment="1">
      <alignment vertical="center" wrapText="1"/>
    </xf>
    <xf numFmtId="0" fontId="6" fillId="0" borderId="1" xfId="1" applyFont="1" applyFill="1" applyBorder="1" applyAlignment="1">
      <alignment vertical="center" wrapText="1"/>
    </xf>
    <xf numFmtId="0" fontId="3" fillId="14" borderId="1" xfId="0" applyFont="1" applyFill="1" applyBorder="1" applyAlignment="1">
      <alignment horizontal="left" vertical="center" wrapText="1"/>
    </xf>
    <xf numFmtId="0" fontId="3" fillId="14" borderId="1" xfId="0" applyFont="1" applyFill="1" applyBorder="1" applyAlignment="1">
      <alignment horizontal="left" vertical="center"/>
    </xf>
    <xf numFmtId="0" fontId="8" fillId="14" borderId="1" xfId="0" applyFont="1" applyFill="1" applyBorder="1" applyAlignment="1">
      <alignment horizontal="center" vertical="center" wrapText="1"/>
    </xf>
    <xf numFmtId="0" fontId="3" fillId="14" borderId="1" xfId="0" applyFont="1" applyFill="1" applyBorder="1" applyAlignment="1">
      <alignment vertical="center"/>
    </xf>
    <xf numFmtId="0" fontId="6" fillId="14" borderId="1" xfId="0" applyFont="1" applyFill="1" applyBorder="1" applyAlignment="1">
      <alignment vertical="center" wrapText="1"/>
    </xf>
    <xf numFmtId="0" fontId="3" fillId="14" borderId="1" xfId="0" applyFont="1" applyFill="1" applyBorder="1" applyAlignment="1">
      <alignment vertical="center" wrapText="1"/>
    </xf>
    <xf numFmtId="164" fontId="2" fillId="5" borderId="26" xfId="0" applyNumberFormat="1" applyFont="1" applyFill="1" applyBorder="1" applyAlignment="1">
      <alignment vertical="center" wrapText="1"/>
    </xf>
    <xf numFmtId="49" fontId="2" fillId="11" borderId="39" xfId="0" applyNumberFormat="1" applyFont="1" applyFill="1" applyBorder="1" applyAlignment="1">
      <alignment horizontal="left" vertical="center" wrapText="1"/>
    </xf>
    <xf numFmtId="164" fontId="3" fillId="3" borderId="11" xfId="0" applyNumberFormat="1" applyFont="1" applyFill="1" applyBorder="1" applyAlignment="1">
      <alignment horizontal="center" vertical="center"/>
    </xf>
    <xf numFmtId="164" fontId="3" fillId="3" borderId="40" xfId="0" applyNumberFormat="1" applyFont="1" applyFill="1" applyBorder="1" applyAlignment="1">
      <alignment horizontal="center" vertical="center"/>
    </xf>
    <xf numFmtId="49" fontId="3" fillId="3" borderId="5" xfId="0" applyNumberFormat="1" applyFont="1" applyFill="1" applyBorder="1" applyAlignment="1">
      <alignment horizontal="left" vertical="center"/>
    </xf>
    <xf numFmtId="49" fontId="3" fillId="3" borderId="5" xfId="1" applyNumberFormat="1" applyFont="1" applyFill="1" applyBorder="1" applyAlignment="1">
      <alignment horizontal="left" vertical="center"/>
    </xf>
    <xf numFmtId="49" fontId="3" fillId="3" borderId="41" xfId="0" applyNumberFormat="1" applyFont="1" applyFill="1" applyBorder="1" applyAlignment="1">
      <alignment horizontal="left" vertical="center"/>
    </xf>
    <xf numFmtId="0" fontId="2" fillId="2" borderId="30" xfId="0" applyFont="1" applyFill="1" applyBorder="1" applyAlignment="1">
      <alignment vertical="center" wrapText="1"/>
    </xf>
    <xf numFmtId="0" fontId="2" fillId="2" borderId="34" xfId="0" applyFont="1" applyFill="1" applyBorder="1" applyAlignment="1">
      <alignment horizontal="center" vertical="center" wrapText="1"/>
    </xf>
    <xf numFmtId="0" fontId="2" fillId="5" borderId="1" xfId="0" applyFont="1" applyFill="1" applyBorder="1" applyAlignment="1">
      <alignment vertical="center" wrapText="1"/>
    </xf>
    <xf numFmtId="0" fontId="20" fillId="7" borderId="1" xfId="0" applyFont="1" applyFill="1" applyBorder="1" applyAlignment="1">
      <alignment vertical="center" wrapText="1"/>
    </xf>
    <xf numFmtId="0" fontId="20" fillId="7" borderId="11" xfId="0" applyFont="1" applyFill="1" applyBorder="1" applyAlignment="1">
      <alignment vertical="center" wrapText="1"/>
    </xf>
    <xf numFmtId="0" fontId="21" fillId="0" borderId="0" xfId="0" applyFont="1" applyAlignment="1">
      <alignment horizontal="center" vertical="center"/>
    </xf>
    <xf numFmtId="0" fontId="6" fillId="7" borderId="13"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1" xfId="0" applyFont="1" applyFill="1" applyBorder="1" applyAlignment="1">
      <alignment horizontal="center" vertical="center"/>
    </xf>
    <xf numFmtId="0" fontId="11" fillId="14" borderId="1" xfId="0" applyFont="1" applyFill="1" applyBorder="1" applyAlignment="1">
      <alignment horizontal="left" vertical="center" wrapText="1"/>
    </xf>
    <xf numFmtId="0" fontId="18" fillId="0" borderId="1" xfId="0" applyFont="1" applyBorder="1" applyAlignment="1">
      <alignment vertical="center" wrapText="1"/>
    </xf>
    <xf numFmtId="0" fontId="3" fillId="0" borderId="13" xfId="0" applyFont="1" applyBorder="1" applyAlignment="1">
      <alignment horizontal="left" vertical="center" wrapText="1"/>
    </xf>
    <xf numFmtId="0" fontId="3" fillId="0" borderId="13" xfId="0" applyFont="1" applyBorder="1" applyAlignment="1">
      <alignment vertical="center"/>
    </xf>
    <xf numFmtId="0" fontId="22" fillId="15" borderId="1" xfId="0" applyFont="1" applyFill="1" applyBorder="1" applyAlignment="1">
      <alignment vertical="center" wrapText="1"/>
    </xf>
    <xf numFmtId="0" fontId="3" fillId="0" borderId="13" xfId="1" applyFont="1" applyFill="1" applyBorder="1" applyAlignment="1">
      <alignment vertical="center" wrapText="1"/>
    </xf>
    <xf numFmtId="0" fontId="14" fillId="0" borderId="1" xfId="1" applyFont="1" applyFill="1" applyBorder="1" applyAlignment="1">
      <alignment vertical="center" wrapText="1"/>
    </xf>
    <xf numFmtId="0" fontId="14" fillId="12" borderId="1" xfId="0" applyFont="1" applyFill="1" applyBorder="1" applyAlignment="1">
      <alignment vertical="center" wrapText="1"/>
    </xf>
    <xf numFmtId="0" fontId="3" fillId="9" borderId="1" xfId="0" applyFont="1" applyFill="1" applyBorder="1" applyAlignment="1">
      <alignment horizontal="left" vertical="center"/>
    </xf>
    <xf numFmtId="0" fontId="3" fillId="9" borderId="1"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6" fillId="9" borderId="1" xfId="0" applyFont="1" applyFill="1" applyBorder="1" applyAlignment="1">
      <alignment vertical="center" wrapText="1"/>
    </xf>
    <xf numFmtId="0" fontId="3" fillId="9" borderId="1" xfId="0" applyFont="1" applyFill="1" applyBorder="1" applyAlignment="1">
      <alignment vertical="center"/>
    </xf>
    <xf numFmtId="0" fontId="13" fillId="0" borderId="1" xfId="0" applyFont="1" applyBorder="1" applyAlignment="1">
      <alignment horizontal="center" vertical="center" wrapText="1"/>
    </xf>
    <xf numFmtId="0" fontId="18" fillId="9" borderId="1" xfId="0" applyFont="1" applyFill="1" applyBorder="1" applyAlignment="1">
      <alignment vertical="center" wrapText="1"/>
    </xf>
    <xf numFmtId="0" fontId="6" fillId="9" borderId="13" xfId="0" applyFont="1" applyFill="1" applyBorder="1" applyAlignment="1">
      <alignment vertical="center" wrapText="1"/>
    </xf>
    <xf numFmtId="0" fontId="3" fillId="0" borderId="10" xfId="0" applyFont="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0" fontId="14" fillId="0" borderId="1" xfId="0" applyFont="1" applyFill="1" applyBorder="1" applyAlignment="1">
      <alignment horizontal="left" vertical="center" wrapText="1"/>
    </xf>
  </cellXfs>
  <cellStyles count="4">
    <cellStyle name="Hyperlink" xfId="1" builtinId="8"/>
    <cellStyle name="Normal" xfId="0" builtinId="0"/>
    <cellStyle name="Normal_Sheet1" xfId="2" xr:uid="{00000000-0005-0000-0000-000002000000}"/>
    <cellStyle name="Normal_Sheet1_1" xfId="3" xr:uid="{00000000-0005-0000-0000-000003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geolsoc.org.uk/LyellCollection" TargetMode="External"/><Relationship Id="rId7" Type="http://schemas.openxmlformats.org/officeDocument/2006/relationships/printerSettings" Target="../printerSettings/printerSettings1.bin"/><Relationship Id="rId2" Type="http://schemas.openxmlformats.org/officeDocument/2006/relationships/hyperlink" Target="http://www.geolsoc.org.uk/FellowsAccess" TargetMode="External"/><Relationship Id="rId1" Type="http://schemas.openxmlformats.org/officeDocument/2006/relationships/hyperlink" Target="http://www.geolsoc.org.uk/bookshop_FAQs" TargetMode="External"/><Relationship Id="rId6" Type="http://schemas.openxmlformats.org/officeDocument/2006/relationships/hyperlink" Target="http://www.geolsoc.org.uk/lyellsubsfaqs" TargetMode="External"/><Relationship Id="rId5" Type="http://schemas.openxmlformats.org/officeDocument/2006/relationships/hyperlink" Target="http://www.geolsoc.org.uk/lcaccess" TargetMode="External"/><Relationship Id="rId4" Type="http://schemas.openxmlformats.org/officeDocument/2006/relationships/hyperlink" Target="https://www.lyellcollection.org/info/librarian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lyellcollection.org/journal/trned" TargetMode="External"/><Relationship Id="rId18" Type="http://schemas.openxmlformats.org/officeDocument/2006/relationships/hyperlink" Target="https://www.lyellcollection.org/journal/loi/geoenergy" TargetMode="External"/><Relationship Id="rId26" Type="http://schemas.openxmlformats.org/officeDocument/2006/relationships/hyperlink" Target="https://www.lyellcollection.org/loi/sp" TargetMode="External"/><Relationship Id="rId3" Type="http://schemas.openxmlformats.org/officeDocument/2006/relationships/hyperlink" Target="https://www.lyellcollection.org/journal/qjegh" TargetMode="External"/><Relationship Id="rId21" Type="http://schemas.openxmlformats.org/officeDocument/2006/relationships/hyperlink" Target="https://www.lyellcollection.org/loi/jm" TargetMode="External"/><Relationship Id="rId34" Type="http://schemas.openxmlformats.org/officeDocument/2006/relationships/printerSettings" Target="../printerSettings/printerSettings2.bin"/><Relationship Id="rId7" Type="http://schemas.openxmlformats.org/officeDocument/2006/relationships/hyperlink" Target="https://www.lyellcollection.org/journal/jm" TargetMode="External"/><Relationship Id="rId12" Type="http://schemas.openxmlformats.org/officeDocument/2006/relationships/hyperlink" Target="https://www.lyellcollection.org/journal/trn" TargetMode="External"/><Relationship Id="rId17" Type="http://schemas.openxmlformats.org/officeDocument/2006/relationships/hyperlink" Target="https://www.lyellcollection.org/journal/loi/pg" TargetMode="External"/><Relationship Id="rId25" Type="http://schemas.openxmlformats.org/officeDocument/2006/relationships/hyperlink" Target="https://www.lyellcollection.org/loi/trngl" TargetMode="External"/><Relationship Id="rId33" Type="http://schemas.openxmlformats.org/officeDocument/2006/relationships/hyperlink" Target="https://www.lyellcollection.org/book/geohorizons" TargetMode="External"/><Relationship Id="rId2" Type="http://schemas.openxmlformats.org/officeDocument/2006/relationships/hyperlink" Target="https://www.lyellcollection.org/journal/pg" TargetMode="External"/><Relationship Id="rId16" Type="http://schemas.openxmlformats.org/officeDocument/2006/relationships/hyperlink" Target="https://eur01.safelinks.protection.outlook.com/?url=https%3A%2F%2Fwww.lyellcollection.org%2Fbook%2Fegc&amp;data=05%7C01%7Cdawn.angel%40geolsoc.org.uk%7C16f6fb23bb5e497a0a1208db62be8aa5%7C8793af0570194bd4bcbe1895301e92f9%7C0%7C0%7C638212342722346311%7CUnknown%7CTWFpbGZsb3d8eyJWIjoiMC4wLjAwMDAiLCJQIjoiV2luMzIiLCJBTiI6Ik1haWwiLCJXVCI6Mn0%3D%7C3000%7C%7C%7C&amp;sdata=iQlMbOKztEzR9L%2B9hj%2B3kla6tdLZsKeDapua%2FjEj%2FDs%3D&amp;reserved=0" TargetMode="External"/><Relationship Id="rId20" Type="http://schemas.openxmlformats.org/officeDocument/2006/relationships/hyperlink" Target="https://www.lyellcollection.org/journal/loi/sjg" TargetMode="External"/><Relationship Id="rId29" Type="http://schemas.openxmlformats.org/officeDocument/2006/relationships/hyperlink" Target="https://www.lyellcollection.org/loi/pgc" TargetMode="External"/><Relationship Id="rId1" Type="http://schemas.openxmlformats.org/officeDocument/2006/relationships/hyperlink" Target="https://www.lyellcollection.org/journal/jgs" TargetMode="External"/><Relationship Id="rId6" Type="http://schemas.openxmlformats.org/officeDocument/2006/relationships/hyperlink" Target="https://www.lyellcollection.org/journal/sjg" TargetMode="External"/><Relationship Id="rId11" Type="http://schemas.openxmlformats.org/officeDocument/2006/relationships/hyperlink" Target="https://www.lyellcollection.org/book/pgc" TargetMode="External"/><Relationship Id="rId24" Type="http://schemas.openxmlformats.org/officeDocument/2006/relationships/hyperlink" Target="https://www.lyellcollection.org/loi/jgs" TargetMode="External"/><Relationship Id="rId32" Type="http://schemas.openxmlformats.org/officeDocument/2006/relationships/hyperlink" Target="https://www.lyellcollection.org/journal/loi/esss" TargetMode="External"/><Relationship Id="rId5" Type="http://schemas.openxmlformats.org/officeDocument/2006/relationships/hyperlink" Target="https://www.lyellcollection.org/journal/pygs" TargetMode="External"/><Relationship Id="rId15" Type="http://schemas.openxmlformats.org/officeDocument/2006/relationships/hyperlink" Target="https://www.lyellcollection.org/journal/geoenergy" TargetMode="External"/><Relationship Id="rId23" Type="http://schemas.openxmlformats.org/officeDocument/2006/relationships/hyperlink" Target="https://www.lyellcollection.org/loi/trned" TargetMode="External"/><Relationship Id="rId28" Type="http://schemas.openxmlformats.org/officeDocument/2006/relationships/hyperlink" Target="https://www.lyellcollection.org/loi/egsp" TargetMode="External"/><Relationship Id="rId10" Type="http://schemas.openxmlformats.org/officeDocument/2006/relationships/hyperlink" Target="https://www.lyellcollection.org/book/egsp" TargetMode="External"/><Relationship Id="rId19" Type="http://schemas.openxmlformats.org/officeDocument/2006/relationships/hyperlink" Target="https://www.lyellcollection.org/journal/loi/geea" TargetMode="External"/><Relationship Id="rId31" Type="http://schemas.openxmlformats.org/officeDocument/2006/relationships/hyperlink" Target="https://www.lyellcollection.org/loi/egc" TargetMode="External"/><Relationship Id="rId4" Type="http://schemas.openxmlformats.org/officeDocument/2006/relationships/hyperlink" Target="https://www.lyellcollection.org/journal/geea" TargetMode="External"/><Relationship Id="rId9" Type="http://schemas.openxmlformats.org/officeDocument/2006/relationships/hyperlink" Target="https://www.lyellcollection.org/book/mem" TargetMode="External"/><Relationship Id="rId14" Type="http://schemas.openxmlformats.org/officeDocument/2006/relationships/hyperlink" Target="https://www.lyellcollection.org/journal/trngl" TargetMode="External"/><Relationship Id="rId22" Type="http://schemas.openxmlformats.org/officeDocument/2006/relationships/hyperlink" Target="https://www.lyellcollection.org/loi/trn" TargetMode="External"/><Relationship Id="rId27" Type="http://schemas.openxmlformats.org/officeDocument/2006/relationships/hyperlink" Target="https://www.lyellcollection.org/journal/loi/mem" TargetMode="External"/><Relationship Id="rId30" Type="http://schemas.openxmlformats.org/officeDocument/2006/relationships/hyperlink" Target="https://www.lyellcollection.org/journal/loi/pygs" TargetMode="External"/><Relationship Id="rId8" Type="http://schemas.openxmlformats.org/officeDocument/2006/relationships/hyperlink" Target="https://www.lyellcollection.org/book/s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lyellcollection.org/series/ebooks" TargetMode="External"/><Relationship Id="rId13" Type="http://schemas.openxmlformats.org/officeDocument/2006/relationships/hyperlink" Target="https://www.geolsoc.org.uk/spe27/" TargetMode="External"/><Relationship Id="rId18" Type="http://schemas.openxmlformats.org/officeDocument/2006/relationships/hyperlink" Target="https://www.geolsoc.org.uk/sp506/" TargetMode="External"/><Relationship Id="rId26" Type="http://schemas.openxmlformats.org/officeDocument/2006/relationships/hyperlink" Target="https://www.geolsoc.org.uk/goewp/" TargetMode="External"/><Relationship Id="rId3" Type="http://schemas.openxmlformats.org/officeDocument/2006/relationships/hyperlink" Target="https://www.lyellcollection.org/series/ebooks" TargetMode="External"/><Relationship Id="rId21" Type="http://schemas.openxmlformats.org/officeDocument/2006/relationships/hyperlink" Target="https://www.geolsoc.org.uk/mpgfg/" TargetMode="External"/><Relationship Id="rId7" Type="http://schemas.openxmlformats.org/officeDocument/2006/relationships/hyperlink" Target="https://www.lyellcollection.org/series/ebooks" TargetMode="External"/><Relationship Id="rId12" Type="http://schemas.openxmlformats.org/officeDocument/2006/relationships/hyperlink" Target="https://www.geolsoc.org.uk/spe23/" TargetMode="External"/><Relationship Id="rId17" Type="http://schemas.openxmlformats.org/officeDocument/2006/relationships/hyperlink" Target="https://www.geolsoc.org.uk/sr027/" TargetMode="External"/><Relationship Id="rId25" Type="http://schemas.openxmlformats.org/officeDocument/2006/relationships/hyperlink" Target="https://www.geolsoc.org.uk/gospp" TargetMode="External"/><Relationship Id="rId2" Type="http://schemas.openxmlformats.org/officeDocument/2006/relationships/hyperlink" Target="https://www.lyellcollection.org/series/ebooks" TargetMode="External"/><Relationship Id="rId16" Type="http://schemas.openxmlformats.org/officeDocument/2006/relationships/hyperlink" Target="https://www.geolsoc.org.uk/gothp/" TargetMode="External"/><Relationship Id="rId20" Type="http://schemas.openxmlformats.org/officeDocument/2006/relationships/hyperlink" Target="https://www.geolsoc.org.uk/mpsdm/" TargetMode="External"/><Relationship Id="rId29" Type="http://schemas.openxmlformats.org/officeDocument/2006/relationships/hyperlink" Target="https://www.geolsoc.org.uk/cev1p/" TargetMode="External"/><Relationship Id="rId1" Type="http://schemas.openxmlformats.org/officeDocument/2006/relationships/hyperlink" Target="https://www.lyellcollection.org/series/ebooks" TargetMode="External"/><Relationship Id="rId6" Type="http://schemas.openxmlformats.org/officeDocument/2006/relationships/hyperlink" Target="https://www.lyellcollection.org/series/ebooks" TargetMode="External"/><Relationship Id="rId11" Type="http://schemas.openxmlformats.org/officeDocument/2006/relationships/hyperlink" Target="https://www.geolsoc.org.uk/spe22/" TargetMode="External"/><Relationship Id="rId24" Type="http://schemas.openxmlformats.org/officeDocument/2006/relationships/hyperlink" Target="https://www.geolsoc.org.uk/gip001/" TargetMode="External"/><Relationship Id="rId5" Type="http://schemas.openxmlformats.org/officeDocument/2006/relationships/hyperlink" Target="https://www.lyellcollection.org/series/ebooks" TargetMode="External"/><Relationship Id="rId15" Type="http://schemas.openxmlformats.org/officeDocument/2006/relationships/hyperlink" Target="https://www.geolsoc.org.uk/spe29/" TargetMode="External"/><Relationship Id="rId23" Type="http://schemas.openxmlformats.org/officeDocument/2006/relationships/hyperlink" Target="https://www.geolsoc.org.uk/m0036/" TargetMode="External"/><Relationship Id="rId28" Type="http://schemas.openxmlformats.org/officeDocument/2006/relationships/hyperlink" Target="https://www.geolsoc.org.uk/cev2p/" TargetMode="External"/><Relationship Id="rId10" Type="http://schemas.openxmlformats.org/officeDocument/2006/relationships/hyperlink" Target="https://www.geolsoc.org.uk/gospp/" TargetMode="External"/><Relationship Id="rId19" Type="http://schemas.openxmlformats.org/officeDocument/2006/relationships/hyperlink" Target="https://www.geolsoc.org.uk/gojapp/" TargetMode="External"/><Relationship Id="rId31" Type="http://schemas.openxmlformats.org/officeDocument/2006/relationships/printerSettings" Target="../printerSettings/printerSettings3.bin"/><Relationship Id="rId4" Type="http://schemas.openxmlformats.org/officeDocument/2006/relationships/hyperlink" Target="https://www.lyellcollection.org/series/ebooks" TargetMode="External"/><Relationship Id="rId9" Type="http://schemas.openxmlformats.org/officeDocument/2006/relationships/hyperlink" Target="https://www.lyellcollection.org/series/ebooks" TargetMode="External"/><Relationship Id="rId14" Type="http://schemas.openxmlformats.org/officeDocument/2006/relationships/hyperlink" Target="https://www.geolsoc.org.uk/spe28/" TargetMode="External"/><Relationship Id="rId22" Type="http://schemas.openxmlformats.org/officeDocument/2006/relationships/hyperlink" Target="https://www.geolsoc.org.uk/mpgfg" TargetMode="External"/><Relationship Id="rId27" Type="http://schemas.openxmlformats.org/officeDocument/2006/relationships/hyperlink" Target="https://www.geolsoc.org.uk/gochp/" TargetMode="External"/><Relationship Id="rId30" Type="http://schemas.openxmlformats.org/officeDocument/2006/relationships/hyperlink" Target="https://www.lyellcollection.org/toc/sp/506/1%20(included%20in%20Book%20Archi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43"/>
  <sheetViews>
    <sheetView tabSelected="1" workbookViewId="0">
      <pane ySplit="1" topLeftCell="A2" activePane="bottomLeft" state="frozen"/>
      <selection activeCell="C1" sqref="C1"/>
      <selection pane="bottomLeft" activeCell="B1" sqref="B1"/>
    </sheetView>
  </sheetViews>
  <sheetFormatPr defaultColWidth="9.109375" defaultRowHeight="10.199999999999999" x14ac:dyDescent="0.2"/>
  <cols>
    <col min="1" max="1" width="11.33203125" style="26" customWidth="1"/>
    <col min="2" max="2" width="20.33203125" style="58" bestFit="1" customWidth="1"/>
    <col min="3" max="3" width="47.5546875" style="72" customWidth="1"/>
    <col min="4" max="4" width="6.33203125" style="25" customWidth="1"/>
    <col min="5" max="5" width="10.6640625" style="25" customWidth="1"/>
    <col min="6" max="6" width="13.88671875" style="39" customWidth="1"/>
    <col min="7" max="7" width="35" style="7" customWidth="1"/>
    <col min="8" max="8" width="7.44140625" style="70" customWidth="1"/>
    <col min="9" max="9" width="13.88671875" style="28" customWidth="1"/>
    <col min="10" max="10" width="15.88671875" style="28" bestFit="1" customWidth="1"/>
    <col min="11" max="11" width="9" style="103" customWidth="1"/>
    <col min="12" max="12" width="9.109375" style="92"/>
    <col min="13" max="16384" width="9.109375" style="24"/>
  </cols>
  <sheetData>
    <row r="1" spans="1:29" ht="31.2" customHeight="1" x14ac:dyDescent="0.2">
      <c r="A1" s="96" t="s">
        <v>0</v>
      </c>
      <c r="B1" s="97" t="s">
        <v>1</v>
      </c>
      <c r="C1" s="96" t="s">
        <v>2</v>
      </c>
      <c r="D1" s="98" t="s">
        <v>3</v>
      </c>
      <c r="E1" s="99" t="s">
        <v>4</v>
      </c>
      <c r="F1" s="99" t="s">
        <v>5</v>
      </c>
      <c r="G1" s="242" t="s">
        <v>6</v>
      </c>
      <c r="H1" s="96" t="s">
        <v>7</v>
      </c>
      <c r="I1" s="98" t="s">
        <v>2920</v>
      </c>
      <c r="J1" s="98" t="s">
        <v>8</v>
      </c>
      <c r="K1" s="100" t="s">
        <v>9</v>
      </c>
      <c r="L1" s="101" t="s">
        <v>10</v>
      </c>
    </row>
    <row r="2" spans="1:29" ht="31.2" customHeight="1" x14ac:dyDescent="0.2">
      <c r="A2" s="329" t="s">
        <v>2985</v>
      </c>
      <c r="B2" s="330" t="s">
        <v>12</v>
      </c>
      <c r="C2" s="329" t="s">
        <v>2986</v>
      </c>
      <c r="D2" s="340">
        <v>2027</v>
      </c>
      <c r="E2" s="338" t="s">
        <v>14</v>
      </c>
      <c r="F2" s="338" t="s">
        <v>2987</v>
      </c>
      <c r="G2" s="243" t="str">
        <f>HYPERLINK("https://www.lyellcollection.org/toc/sp/565/1")</f>
        <v>https://www.lyellcollection.org/toc/sp/565/1</v>
      </c>
      <c r="H2" s="341" t="s">
        <v>16</v>
      </c>
      <c r="I2" s="337" t="s">
        <v>2913</v>
      </c>
      <c r="J2" s="337" t="s">
        <v>17</v>
      </c>
      <c r="K2" s="339" t="s">
        <v>18</v>
      </c>
      <c r="L2" s="90"/>
    </row>
    <row r="3" spans="1:29" ht="31.2" customHeight="1" x14ac:dyDescent="0.2">
      <c r="A3" s="329" t="s">
        <v>2980</v>
      </c>
      <c r="B3" s="330" t="s">
        <v>12</v>
      </c>
      <c r="C3" s="329" t="s">
        <v>2981</v>
      </c>
      <c r="D3" s="340">
        <v>2027</v>
      </c>
      <c r="E3" s="3" t="s">
        <v>14</v>
      </c>
      <c r="F3" s="84" t="s">
        <v>2982</v>
      </c>
      <c r="G3" s="243" t="str">
        <f>HYPERLINK("https://www.lyellcollection.org/toc/sp/564/1")</f>
        <v>https://www.lyellcollection.org/toc/sp/564/1</v>
      </c>
      <c r="H3" s="76" t="s">
        <v>16</v>
      </c>
      <c r="I3" s="47" t="s">
        <v>2913</v>
      </c>
      <c r="J3" s="1" t="s">
        <v>17</v>
      </c>
      <c r="K3" s="47" t="s">
        <v>18</v>
      </c>
      <c r="L3" s="87"/>
    </row>
    <row r="4" spans="1:29" ht="31.2" customHeight="1" x14ac:dyDescent="0.2">
      <c r="A4" s="329" t="s">
        <v>2970</v>
      </c>
      <c r="B4" s="330" t="s">
        <v>12</v>
      </c>
      <c r="C4" s="329" t="s">
        <v>2973</v>
      </c>
      <c r="D4" s="340">
        <v>2027</v>
      </c>
      <c r="E4" s="3" t="s">
        <v>14</v>
      </c>
      <c r="F4" s="84" t="s">
        <v>2971</v>
      </c>
      <c r="G4" s="243" t="str">
        <f>HYPERLINK("https://www.lyellcollection.org/toc/sp/563/1")</f>
        <v>https://www.lyellcollection.org/toc/sp/563/1</v>
      </c>
      <c r="H4" s="76" t="s">
        <v>16</v>
      </c>
      <c r="I4" s="47" t="s">
        <v>2913</v>
      </c>
      <c r="J4" s="1" t="s">
        <v>17</v>
      </c>
      <c r="K4" s="47" t="s">
        <v>18</v>
      </c>
      <c r="L4" s="87"/>
    </row>
    <row r="5" spans="1:29" ht="31.2" customHeight="1" x14ac:dyDescent="0.2">
      <c r="A5" s="329" t="s">
        <v>2962</v>
      </c>
      <c r="B5" s="330" t="s">
        <v>12</v>
      </c>
      <c r="C5" s="329" t="s">
        <v>2963</v>
      </c>
      <c r="D5" s="340">
        <v>2027</v>
      </c>
      <c r="E5" s="3" t="s">
        <v>14</v>
      </c>
      <c r="F5" s="256" t="s">
        <v>2964</v>
      </c>
      <c r="G5" s="243" t="str">
        <f>HYPERLINK("https://www.lyellcollection.org/toc/sp/562/1")</f>
        <v>https://www.lyellcollection.org/toc/sp/562/1</v>
      </c>
      <c r="H5" s="76" t="s">
        <v>16</v>
      </c>
      <c r="I5" s="47" t="s">
        <v>2913</v>
      </c>
      <c r="J5" s="1" t="s">
        <v>17</v>
      </c>
      <c r="K5" s="47" t="s">
        <v>18</v>
      </c>
      <c r="L5" s="87"/>
    </row>
    <row r="6" spans="1:29" ht="31.2" customHeight="1" x14ac:dyDescent="0.2">
      <c r="A6" s="331" t="s">
        <v>22</v>
      </c>
      <c r="B6" s="332" t="s">
        <v>12</v>
      </c>
      <c r="C6" s="331" t="s">
        <v>23</v>
      </c>
      <c r="D6" s="340">
        <v>2027</v>
      </c>
      <c r="E6" s="3" t="s">
        <v>14</v>
      </c>
      <c r="F6" s="1" t="s">
        <v>24</v>
      </c>
      <c r="G6" s="243" t="str">
        <f>HYPERLINK("https://www.lyellcollection.org/toc/sp/555/1")</f>
        <v>https://www.lyellcollection.org/toc/sp/555/1</v>
      </c>
      <c r="H6" s="76" t="s">
        <v>16</v>
      </c>
      <c r="I6" s="47" t="s">
        <v>2913</v>
      </c>
      <c r="J6" s="1" t="s">
        <v>17</v>
      </c>
      <c r="K6" s="47" t="s">
        <v>18</v>
      </c>
      <c r="L6" s="87"/>
    </row>
    <row r="7" spans="1:29" ht="31.2" customHeight="1" x14ac:dyDescent="0.2">
      <c r="A7" s="331" t="s">
        <v>25</v>
      </c>
      <c r="B7" s="332" t="s">
        <v>12</v>
      </c>
      <c r="C7" s="335" t="s">
        <v>26</v>
      </c>
      <c r="D7" s="340">
        <v>2027</v>
      </c>
      <c r="E7" s="271" t="s">
        <v>14</v>
      </c>
      <c r="F7" s="336" t="s">
        <v>27</v>
      </c>
      <c r="G7" s="325" t="str">
        <f>HYPERLINK("https://www.lyellcollection.org/toc/sp/554/1")</f>
        <v>https://www.lyellcollection.org/toc/sp/554/1</v>
      </c>
      <c r="H7" s="76" t="s">
        <v>16</v>
      </c>
      <c r="I7" s="47" t="s">
        <v>2913</v>
      </c>
      <c r="J7" s="1" t="s">
        <v>17</v>
      </c>
      <c r="K7" s="47" t="s">
        <v>18</v>
      </c>
      <c r="L7" s="87"/>
    </row>
    <row r="8" spans="1:29" ht="31.2" customHeight="1" x14ac:dyDescent="0.2">
      <c r="A8" s="331" t="s">
        <v>2958</v>
      </c>
      <c r="B8" s="332" t="s">
        <v>2959</v>
      </c>
      <c r="C8" s="331" t="s">
        <v>2961</v>
      </c>
      <c r="D8" s="340">
        <v>2027</v>
      </c>
      <c r="E8" s="3" t="s">
        <v>14</v>
      </c>
      <c r="F8" s="256" t="s">
        <v>2960</v>
      </c>
      <c r="G8" s="243" t="str">
        <f>HYPERLINK("https://www.lyellcollection.org/toc/geohorizons/1/1")</f>
        <v>https://www.lyellcollection.org/toc/geohorizons/1/1</v>
      </c>
      <c r="H8" s="76" t="s">
        <v>16</v>
      </c>
      <c r="I8" s="47" t="s">
        <v>83</v>
      </c>
      <c r="J8" s="1" t="s">
        <v>17</v>
      </c>
      <c r="K8" s="47" t="s">
        <v>18</v>
      </c>
      <c r="L8" s="87"/>
    </row>
    <row r="9" spans="1:29" ht="31.2" customHeight="1" x14ac:dyDescent="0.2">
      <c r="A9" s="328" t="s">
        <v>11</v>
      </c>
      <c r="B9" s="328" t="s">
        <v>12</v>
      </c>
      <c r="C9" s="334" t="s">
        <v>13</v>
      </c>
      <c r="D9" s="340" t="s">
        <v>2972</v>
      </c>
      <c r="E9" s="3" t="s">
        <v>14</v>
      </c>
      <c r="F9" s="241" t="s">
        <v>15</v>
      </c>
      <c r="G9" s="243" t="str">
        <f>HYPERLINK("https://www.lyellcollection.org/toc/sp/558/1")</f>
        <v>https://www.lyellcollection.org/toc/sp/558/1</v>
      </c>
      <c r="H9" s="76" t="s">
        <v>16</v>
      </c>
      <c r="I9" s="47" t="s">
        <v>2913</v>
      </c>
      <c r="J9" s="1" t="s">
        <v>17</v>
      </c>
      <c r="K9" s="47" t="s">
        <v>18</v>
      </c>
      <c r="L9" s="53"/>
    </row>
    <row r="10" spans="1:29" s="139" customFormat="1" ht="31.2" customHeight="1" x14ac:dyDescent="0.2">
      <c r="A10" s="298" t="s">
        <v>2965</v>
      </c>
      <c r="B10" s="320" t="s">
        <v>182</v>
      </c>
      <c r="C10" s="302" t="s">
        <v>2969</v>
      </c>
      <c r="D10" s="300">
        <v>2026</v>
      </c>
      <c r="E10" s="3" t="s">
        <v>14</v>
      </c>
      <c r="F10" s="20" t="s">
        <v>2968</v>
      </c>
      <c r="G10" s="326" t="s">
        <v>2967</v>
      </c>
      <c r="H10" s="327"/>
      <c r="I10" s="192"/>
      <c r="J10" s="1" t="s">
        <v>2984</v>
      </c>
      <c r="K10" s="47" t="s">
        <v>18</v>
      </c>
      <c r="L10" s="290"/>
      <c r="M10" s="24"/>
      <c r="N10" s="24"/>
      <c r="O10" s="24"/>
      <c r="P10" s="24"/>
      <c r="Q10" s="24"/>
      <c r="R10" s="24"/>
      <c r="S10" s="24"/>
      <c r="T10" s="24"/>
      <c r="U10" s="24"/>
      <c r="V10" s="24"/>
      <c r="W10" s="24"/>
      <c r="X10" s="24"/>
      <c r="Y10" s="24"/>
      <c r="Z10" s="24"/>
      <c r="AA10" s="24"/>
      <c r="AB10" s="24"/>
      <c r="AC10" s="24"/>
    </row>
    <row r="11" spans="1:29" ht="31.2" customHeight="1" x14ac:dyDescent="0.2">
      <c r="A11" s="302" t="s">
        <v>2975</v>
      </c>
      <c r="B11" s="301" t="s">
        <v>76</v>
      </c>
      <c r="C11" s="302" t="s">
        <v>2976</v>
      </c>
      <c r="D11" s="300">
        <v>2026</v>
      </c>
      <c r="E11" s="3" t="s">
        <v>14</v>
      </c>
      <c r="F11" s="256" t="s">
        <v>2977</v>
      </c>
      <c r="G11" s="326" t="s">
        <v>2967</v>
      </c>
      <c r="H11" s="327"/>
      <c r="I11" s="192"/>
      <c r="J11" s="1" t="s">
        <v>2979</v>
      </c>
      <c r="K11" s="47" t="s">
        <v>18</v>
      </c>
      <c r="L11" s="87"/>
    </row>
    <row r="12" spans="1:29" ht="31.2" customHeight="1" x14ac:dyDescent="0.2">
      <c r="A12" s="299" t="s">
        <v>2914</v>
      </c>
      <c r="B12" s="299" t="s">
        <v>12</v>
      </c>
      <c r="C12" s="298" t="s">
        <v>2915</v>
      </c>
      <c r="D12" s="300">
        <v>2026</v>
      </c>
      <c r="E12" s="3" t="s">
        <v>14</v>
      </c>
      <c r="F12" s="3" t="s">
        <v>2916</v>
      </c>
      <c r="G12" s="297" t="str">
        <f>HYPERLINK("https://www.lyellcollection.org/toc/sp/559/1")</f>
        <v>https://www.lyellcollection.org/toc/sp/559/1</v>
      </c>
      <c r="H12" s="76" t="s">
        <v>16</v>
      </c>
      <c r="I12" s="47" t="s">
        <v>2913</v>
      </c>
      <c r="J12" s="1" t="s">
        <v>2979</v>
      </c>
      <c r="K12" s="47" t="s">
        <v>18</v>
      </c>
      <c r="L12" s="90"/>
    </row>
    <row r="13" spans="1:29" ht="31.2" customHeight="1" x14ac:dyDescent="0.2">
      <c r="A13" s="298" t="s">
        <v>2954</v>
      </c>
      <c r="B13" s="320" t="s">
        <v>12</v>
      </c>
      <c r="C13" s="298" t="s">
        <v>2955</v>
      </c>
      <c r="D13" s="300">
        <v>2026</v>
      </c>
      <c r="E13" s="3" t="s">
        <v>14</v>
      </c>
      <c r="F13" s="333" t="s">
        <v>2956</v>
      </c>
      <c r="G13" s="243" t="str">
        <f>HYPERLINK("https://www.lyellcollection.org/toc/sp/561/1")</f>
        <v>https://www.lyellcollection.org/toc/sp/561/1</v>
      </c>
      <c r="H13" s="76" t="s">
        <v>16</v>
      </c>
      <c r="I13" s="47" t="s">
        <v>2913</v>
      </c>
      <c r="J13" s="1" t="s">
        <v>2974</v>
      </c>
      <c r="K13" s="47" t="s">
        <v>18</v>
      </c>
      <c r="L13" s="87"/>
    </row>
    <row r="14" spans="1:29" ht="31.2" customHeight="1" x14ac:dyDescent="0.2">
      <c r="A14" s="298" t="s">
        <v>2917</v>
      </c>
      <c r="B14" s="299" t="s">
        <v>12</v>
      </c>
      <c r="C14" s="298" t="s">
        <v>2919</v>
      </c>
      <c r="D14" s="300">
        <v>2026</v>
      </c>
      <c r="E14" s="3" t="s">
        <v>14</v>
      </c>
      <c r="F14" s="3" t="s">
        <v>2918</v>
      </c>
      <c r="G14" s="243" t="str">
        <f>HYPERLINK("https://www.lyellcollection.org/toc/sp/560/1")</f>
        <v>https://www.lyellcollection.org/toc/sp/560/1</v>
      </c>
      <c r="H14" s="76" t="s">
        <v>16</v>
      </c>
      <c r="I14" s="47" t="s">
        <v>2913</v>
      </c>
      <c r="J14" s="1" t="s">
        <v>2978</v>
      </c>
      <c r="K14" s="47">
        <v>130</v>
      </c>
      <c r="L14" s="90"/>
    </row>
    <row r="15" spans="1:29" s="139" customFormat="1" ht="31.2" customHeight="1" x14ac:dyDescent="0.2">
      <c r="A15" s="302" t="s">
        <v>28</v>
      </c>
      <c r="B15" s="301" t="s">
        <v>12</v>
      </c>
      <c r="C15" s="302" t="s">
        <v>29</v>
      </c>
      <c r="D15" s="300">
        <v>2026</v>
      </c>
      <c r="E15" s="3" t="s">
        <v>14</v>
      </c>
      <c r="F15" s="1" t="s">
        <v>30</v>
      </c>
      <c r="G15" s="243" t="str">
        <f>HYPERLINK("https://www.lyellcollection.org/toc/sp/553/1")</f>
        <v>https://www.lyellcollection.org/toc/sp/553/1</v>
      </c>
      <c r="H15" s="76" t="s">
        <v>16</v>
      </c>
      <c r="I15" s="47" t="s">
        <v>2913</v>
      </c>
      <c r="J15" s="1" t="s">
        <v>2984</v>
      </c>
      <c r="K15" s="47" t="s">
        <v>18</v>
      </c>
      <c r="L15" s="87"/>
      <c r="M15" s="24"/>
      <c r="N15" s="24"/>
      <c r="O15" s="24"/>
      <c r="P15" s="24"/>
      <c r="Q15" s="24"/>
      <c r="R15" s="24"/>
      <c r="S15" s="24"/>
      <c r="T15" s="24"/>
      <c r="U15" s="24"/>
      <c r="V15" s="24"/>
      <c r="W15" s="24"/>
      <c r="X15" s="24"/>
      <c r="Y15" s="24"/>
      <c r="Z15" s="24"/>
      <c r="AA15" s="24"/>
      <c r="AB15" s="24"/>
      <c r="AC15" s="24"/>
    </row>
    <row r="16" spans="1:29" s="139" customFormat="1" ht="31.2" customHeight="1" x14ac:dyDescent="0.2">
      <c r="A16" s="298" t="s">
        <v>31</v>
      </c>
      <c r="B16" s="303" t="s">
        <v>32</v>
      </c>
      <c r="C16" s="298" t="s">
        <v>33</v>
      </c>
      <c r="D16" s="300">
        <v>2026</v>
      </c>
      <c r="E16" s="84" t="s">
        <v>14</v>
      </c>
      <c r="F16" s="241" t="s">
        <v>34</v>
      </c>
      <c r="G16" s="240" t="str">
        <f>HYPERLINK("https://www.lyellcollection.org/toc/egc/1/1")</f>
        <v>https://www.lyellcollection.org/toc/egc/1/1</v>
      </c>
      <c r="H16" s="76" t="s">
        <v>16</v>
      </c>
      <c r="I16" s="47" t="s">
        <v>2913</v>
      </c>
      <c r="J16" s="1" t="s">
        <v>2983</v>
      </c>
      <c r="K16" s="47">
        <v>200</v>
      </c>
      <c r="L16" s="290"/>
      <c r="M16" s="24"/>
      <c r="N16" s="24"/>
      <c r="O16" s="24"/>
      <c r="P16" s="24"/>
      <c r="Q16" s="24"/>
      <c r="R16" s="24"/>
      <c r="S16" s="24"/>
      <c r="T16" s="24"/>
      <c r="U16" s="24"/>
      <c r="V16" s="24"/>
      <c r="W16" s="24"/>
      <c r="X16" s="24"/>
      <c r="Y16" s="24"/>
      <c r="Z16" s="24"/>
      <c r="AA16" s="24"/>
      <c r="AB16" s="24"/>
      <c r="AC16" s="24"/>
    </row>
    <row r="17" spans="1:29" s="139" customFormat="1" ht="31.2" customHeight="1" x14ac:dyDescent="0.2">
      <c r="A17" s="296" t="s">
        <v>35</v>
      </c>
      <c r="B17" s="255" t="s">
        <v>12</v>
      </c>
      <c r="C17" s="296" t="s">
        <v>36</v>
      </c>
      <c r="D17" s="253">
        <v>2026</v>
      </c>
      <c r="E17" s="3" t="s">
        <v>14</v>
      </c>
      <c r="F17" s="1" t="s">
        <v>37</v>
      </c>
      <c r="G17" s="243" t="str">
        <f>HYPERLINK("https://www.lyellcollection.org/toc/sp/552/1")</f>
        <v>https://www.lyellcollection.org/toc/sp/552/1</v>
      </c>
      <c r="H17" s="2" t="s">
        <v>70</v>
      </c>
      <c r="I17" s="47" t="s">
        <v>2913</v>
      </c>
      <c r="J17" s="1" t="s">
        <v>71</v>
      </c>
      <c r="K17" s="47">
        <v>150</v>
      </c>
      <c r="L17" s="290"/>
      <c r="M17" s="24"/>
      <c r="N17" s="24"/>
      <c r="O17" s="24"/>
      <c r="P17" s="24"/>
      <c r="Q17" s="24"/>
      <c r="R17" s="24"/>
      <c r="S17" s="24"/>
      <c r="T17" s="24"/>
      <c r="U17" s="24"/>
      <c r="V17" s="24"/>
      <c r="W17" s="24"/>
      <c r="X17" s="24"/>
      <c r="Y17" s="24"/>
      <c r="Z17" s="24"/>
      <c r="AA17" s="24"/>
      <c r="AB17" s="24"/>
      <c r="AC17" s="24"/>
    </row>
    <row r="18" spans="1:29" ht="31.2" customHeight="1" x14ac:dyDescent="0.2">
      <c r="A18" s="254" t="s">
        <v>19</v>
      </c>
      <c r="B18" s="255" t="s">
        <v>12</v>
      </c>
      <c r="C18" s="296" t="s">
        <v>20</v>
      </c>
      <c r="D18" s="253">
        <v>2026</v>
      </c>
      <c r="E18" s="3" t="s">
        <v>14</v>
      </c>
      <c r="F18" s="1" t="s">
        <v>21</v>
      </c>
      <c r="G18" s="243" t="str">
        <f>HYPERLINK("https://www.lyellcollection.org/toc/sp/557/1")</f>
        <v>https://www.lyellcollection.org/toc/sp/557/1</v>
      </c>
      <c r="H18" s="2" t="s">
        <v>70</v>
      </c>
      <c r="I18" s="47" t="s">
        <v>2913</v>
      </c>
      <c r="J18" s="1" t="s">
        <v>71</v>
      </c>
      <c r="K18" s="47">
        <v>190</v>
      </c>
      <c r="L18" s="87"/>
    </row>
    <row r="19" spans="1:29" ht="31.2" customHeight="1" x14ac:dyDescent="0.2">
      <c r="A19" s="6" t="s">
        <v>38</v>
      </c>
      <c r="B19" s="2" t="s">
        <v>39</v>
      </c>
      <c r="C19" s="5" t="s">
        <v>40</v>
      </c>
      <c r="D19" s="4">
        <v>2025</v>
      </c>
      <c r="E19" s="3" t="s">
        <v>14</v>
      </c>
      <c r="F19" s="4" t="s">
        <v>41</v>
      </c>
      <c r="G19" s="65" t="str">
        <f>HYPERLINK("https://www.lyellcollection.org/toc/mem/57/1")</f>
        <v>https://www.lyellcollection.org/toc/mem/57/1</v>
      </c>
      <c r="H19" s="2" t="s">
        <v>70</v>
      </c>
      <c r="I19" s="47" t="s">
        <v>2913</v>
      </c>
      <c r="J19" s="1" t="s">
        <v>71</v>
      </c>
      <c r="K19" s="47">
        <v>300</v>
      </c>
      <c r="L19" s="317"/>
    </row>
    <row r="20" spans="1:29" s="139" customFormat="1" ht="31.2" customHeight="1" x14ac:dyDescent="0.2">
      <c r="A20" s="5" t="s">
        <v>49</v>
      </c>
      <c r="B20" s="146" t="s">
        <v>43</v>
      </c>
      <c r="C20" s="5" t="s">
        <v>50</v>
      </c>
      <c r="D20" s="1">
        <v>2025</v>
      </c>
      <c r="E20" s="3" t="s">
        <v>14</v>
      </c>
      <c r="F20" s="3" t="s">
        <v>51</v>
      </c>
      <c r="G20" s="243" t="str">
        <f>HYPERLINK("https://www.lyellcollection.org/toc/egsp/30/1")</f>
        <v>https://www.lyellcollection.org/toc/egsp/30/1</v>
      </c>
      <c r="H20" s="2" t="s">
        <v>70</v>
      </c>
      <c r="I20" s="47" t="s">
        <v>2913</v>
      </c>
      <c r="J20" s="1" t="s">
        <v>71</v>
      </c>
      <c r="K20" s="47">
        <v>100</v>
      </c>
      <c r="L20" s="87"/>
      <c r="M20" s="24"/>
      <c r="N20" s="24"/>
      <c r="O20" s="24"/>
      <c r="P20" s="24"/>
      <c r="Q20" s="24"/>
      <c r="R20" s="24"/>
      <c r="S20" s="24"/>
      <c r="T20" s="24"/>
      <c r="U20" s="24"/>
      <c r="V20" s="24"/>
      <c r="W20" s="24"/>
      <c r="X20" s="24"/>
      <c r="Y20" s="24"/>
      <c r="Z20" s="24"/>
      <c r="AA20" s="24"/>
      <c r="AB20" s="24"/>
      <c r="AC20" s="24"/>
    </row>
    <row r="21" spans="1:29" s="139" customFormat="1" ht="31.2" customHeight="1" x14ac:dyDescent="0.2">
      <c r="A21" s="5" t="s">
        <v>52</v>
      </c>
      <c r="B21" s="244" t="s">
        <v>12</v>
      </c>
      <c r="C21" s="145" t="s">
        <v>53</v>
      </c>
      <c r="D21" s="1">
        <v>2025</v>
      </c>
      <c r="E21" s="3" t="s">
        <v>14</v>
      </c>
      <c r="F21" s="1" t="s">
        <v>54</v>
      </c>
      <c r="G21" s="243" t="str">
        <f>HYPERLINK("https://www.lyellcollection.org/toc/sp/556/1")</f>
        <v>https://www.lyellcollection.org/toc/sp/556/1</v>
      </c>
      <c r="H21" s="2" t="s">
        <v>70</v>
      </c>
      <c r="I21" s="47" t="s">
        <v>2913</v>
      </c>
      <c r="J21" s="1" t="s">
        <v>71</v>
      </c>
      <c r="K21" s="47">
        <v>130</v>
      </c>
      <c r="L21" s="290"/>
      <c r="M21" s="24"/>
      <c r="N21" s="24"/>
      <c r="O21" s="24"/>
      <c r="P21" s="24"/>
      <c r="Q21" s="24"/>
      <c r="R21" s="24"/>
      <c r="S21" s="24"/>
      <c r="T21" s="24"/>
      <c r="U21" s="24"/>
      <c r="V21" s="24"/>
      <c r="W21" s="24"/>
      <c r="X21" s="24"/>
      <c r="Y21" s="24"/>
      <c r="Z21" s="24"/>
      <c r="AA21" s="24"/>
      <c r="AB21" s="24"/>
      <c r="AC21" s="24"/>
    </row>
    <row r="22" spans="1:29" s="139" customFormat="1" ht="31.2" customHeight="1" x14ac:dyDescent="0.2">
      <c r="A22" s="5" t="s">
        <v>42</v>
      </c>
      <c r="B22" s="146" t="s">
        <v>43</v>
      </c>
      <c r="C22" s="321" t="s">
        <v>44</v>
      </c>
      <c r="D22" s="1">
        <v>2025</v>
      </c>
      <c r="E22" s="84" t="s">
        <v>14</v>
      </c>
      <c r="F22" s="241" t="s">
        <v>45</v>
      </c>
      <c r="G22" s="243" t="str">
        <f>HYPERLINK("https://www.lyellcollection.org/toc/egsp/31/1")</f>
        <v>https://www.lyellcollection.org/toc/egsp/31/1</v>
      </c>
      <c r="H22" s="2" t="s">
        <v>70</v>
      </c>
      <c r="I22" s="47" t="s">
        <v>2913</v>
      </c>
      <c r="J22" s="1" t="s">
        <v>71</v>
      </c>
      <c r="K22" s="47">
        <v>170</v>
      </c>
      <c r="L22" s="87"/>
      <c r="M22" s="24"/>
      <c r="N22" s="24"/>
      <c r="O22" s="24"/>
      <c r="P22" s="24"/>
      <c r="Q22" s="24"/>
      <c r="R22" s="24"/>
      <c r="S22" s="24"/>
      <c r="T22" s="24"/>
      <c r="U22" s="24"/>
      <c r="V22" s="24"/>
      <c r="W22" s="24"/>
      <c r="X22" s="24"/>
      <c r="Y22" s="24"/>
      <c r="Z22" s="24"/>
      <c r="AA22" s="24"/>
      <c r="AB22" s="24"/>
      <c r="AC22" s="24"/>
    </row>
    <row r="23" spans="1:29" s="139" customFormat="1" ht="31.2" customHeight="1" x14ac:dyDescent="0.2">
      <c r="A23" s="5" t="s">
        <v>46</v>
      </c>
      <c r="B23" s="244" t="s">
        <v>12</v>
      </c>
      <c r="C23" s="145" t="s">
        <v>47</v>
      </c>
      <c r="D23" s="21">
        <v>2025</v>
      </c>
      <c r="E23" s="246" t="s">
        <v>14</v>
      </c>
      <c r="F23" s="23" t="s">
        <v>48</v>
      </c>
      <c r="G23" s="247" t="str">
        <f>HYPERLINK("https://www.lyellcollection.org/toc/sp/550/1")</f>
        <v>https://www.lyellcollection.org/toc/sp/550/1</v>
      </c>
      <c r="H23" s="2" t="s">
        <v>70</v>
      </c>
      <c r="I23" s="47" t="s">
        <v>2913</v>
      </c>
      <c r="J23" s="1" t="s">
        <v>71</v>
      </c>
      <c r="K23" s="47">
        <v>180</v>
      </c>
      <c r="L23" s="290"/>
      <c r="M23" s="24"/>
      <c r="N23" s="24"/>
      <c r="O23" s="24"/>
      <c r="P23" s="24"/>
      <c r="Q23" s="24"/>
      <c r="R23" s="24"/>
      <c r="S23" s="24"/>
      <c r="T23" s="24"/>
      <c r="U23" s="24"/>
      <c r="V23" s="24"/>
      <c r="W23" s="24"/>
      <c r="X23" s="24"/>
      <c r="Y23" s="24"/>
      <c r="Z23" s="24"/>
      <c r="AA23" s="24"/>
      <c r="AB23" s="24"/>
      <c r="AC23" s="24"/>
    </row>
    <row r="24" spans="1:29" ht="31.2" customHeight="1" x14ac:dyDescent="0.2">
      <c r="A24" s="5" t="s">
        <v>55</v>
      </c>
      <c r="B24" s="244" t="s">
        <v>12</v>
      </c>
      <c r="C24" s="2" t="s">
        <v>56</v>
      </c>
      <c r="D24" s="21">
        <v>2025</v>
      </c>
      <c r="E24" s="246" t="s">
        <v>14</v>
      </c>
      <c r="F24" s="23" t="s">
        <v>57</v>
      </c>
      <c r="G24" s="247" t="str">
        <f>HYPERLINK("https://www.lyellcollection.org/toc/sp/551/1")</f>
        <v>https://www.lyellcollection.org/toc/sp/551/1</v>
      </c>
      <c r="H24" s="2" t="s">
        <v>70</v>
      </c>
      <c r="I24" s="47" t="s">
        <v>2913</v>
      </c>
      <c r="J24" s="1" t="s">
        <v>71</v>
      </c>
      <c r="K24" s="47">
        <v>145</v>
      </c>
      <c r="L24" s="290"/>
    </row>
    <row r="25" spans="1:29" s="139" customFormat="1" ht="33" customHeight="1" x14ac:dyDescent="0.25">
      <c r="A25" s="144" t="s">
        <v>64</v>
      </c>
      <c r="B25" s="2" t="s">
        <v>39</v>
      </c>
      <c r="C25" s="144" t="s">
        <v>65</v>
      </c>
      <c r="D25" s="1">
        <v>2025</v>
      </c>
      <c r="E25" s="84" t="s">
        <v>14</v>
      </c>
      <c r="F25" s="140" t="s">
        <v>66</v>
      </c>
      <c r="G25" s="245" t="str">
        <f>HYPERLINK("https://www.lyellcollection.org/toc/mem/61/1")</f>
        <v>https://www.lyellcollection.org/toc/mem/61/1</v>
      </c>
      <c r="H25" s="2" t="s">
        <v>70</v>
      </c>
      <c r="I25" s="140" t="s">
        <v>2913</v>
      </c>
      <c r="J25" s="1" t="s">
        <v>71</v>
      </c>
      <c r="K25" s="47">
        <v>130</v>
      </c>
      <c r="L25" s="87"/>
    </row>
    <row r="26" spans="1:29" ht="31.2" customHeight="1" x14ac:dyDescent="0.2">
      <c r="A26" s="322" t="s">
        <v>58</v>
      </c>
      <c r="B26" s="323" t="s">
        <v>12</v>
      </c>
      <c r="C26" s="284" t="s">
        <v>59</v>
      </c>
      <c r="D26" s="1">
        <v>2025</v>
      </c>
      <c r="E26" s="134" t="s">
        <v>14</v>
      </c>
      <c r="F26" s="292" t="s">
        <v>60</v>
      </c>
      <c r="G26" s="293" t="str">
        <f>HYPERLINK("https://www.lyellcollection.org/toc/sp/549/1")</f>
        <v>https://www.lyellcollection.org/toc/sp/549/1</v>
      </c>
      <c r="H26" s="2" t="s">
        <v>70</v>
      </c>
      <c r="I26" s="287" t="s">
        <v>2913</v>
      </c>
      <c r="J26" s="277" t="s">
        <v>71</v>
      </c>
      <c r="K26" s="287">
        <v>120</v>
      </c>
      <c r="L26" s="290"/>
    </row>
    <row r="27" spans="1:29" ht="31.2" customHeight="1" x14ac:dyDescent="0.2">
      <c r="A27" s="5" t="s">
        <v>61</v>
      </c>
      <c r="B27" s="244" t="s">
        <v>12</v>
      </c>
      <c r="C27" s="2" t="s">
        <v>62</v>
      </c>
      <c r="D27" s="1">
        <v>2025</v>
      </c>
      <c r="E27" s="84" t="s">
        <v>14</v>
      </c>
      <c r="F27" s="105" t="s">
        <v>63</v>
      </c>
      <c r="G27" s="257" t="str">
        <f>HYPERLINK("https://www.lyellcollection.org/toc/sp/548/1")</f>
        <v>https://www.lyellcollection.org/toc/sp/548/1</v>
      </c>
      <c r="H27" s="2" t="s">
        <v>70</v>
      </c>
      <c r="I27" s="47" t="s">
        <v>2913</v>
      </c>
      <c r="J27" s="1" t="s">
        <v>71</v>
      </c>
      <c r="K27" s="47">
        <v>130</v>
      </c>
      <c r="L27" s="87"/>
    </row>
    <row r="28" spans="1:29" ht="31.2" customHeight="1" x14ac:dyDescent="0.2">
      <c r="A28" s="260" t="s">
        <v>67</v>
      </c>
      <c r="B28" s="284" t="s">
        <v>12</v>
      </c>
      <c r="C28" s="260" t="s">
        <v>68</v>
      </c>
      <c r="D28" s="277">
        <v>2025</v>
      </c>
      <c r="E28" s="134" t="s">
        <v>14</v>
      </c>
      <c r="F28" s="275" t="s">
        <v>69</v>
      </c>
      <c r="G28" s="280" t="str">
        <f>HYPERLINK("https://www.lyellcollection.org/toc/sp/545/1")</f>
        <v>https://www.lyellcollection.org/toc/sp/545/1</v>
      </c>
      <c r="H28" s="284" t="s">
        <v>70</v>
      </c>
      <c r="I28" s="287" t="s">
        <v>2913</v>
      </c>
      <c r="J28" s="277" t="s">
        <v>71</v>
      </c>
      <c r="K28" s="287">
        <v>200</v>
      </c>
      <c r="L28" s="290"/>
      <c r="M28" s="139"/>
      <c r="N28" s="139"/>
      <c r="O28" s="139"/>
      <c r="P28" s="139"/>
      <c r="Q28" s="139"/>
      <c r="R28" s="139"/>
      <c r="S28" s="139"/>
      <c r="T28" s="139"/>
      <c r="U28" s="139"/>
      <c r="V28" s="139"/>
      <c r="W28" s="139"/>
      <c r="X28" s="139"/>
      <c r="Y28" s="139"/>
      <c r="Z28" s="139"/>
      <c r="AA28" s="139"/>
      <c r="AB28" s="139"/>
      <c r="AC28" s="139"/>
    </row>
    <row r="29" spans="1:29" s="139" customFormat="1" ht="31.2" customHeight="1" x14ac:dyDescent="0.25">
      <c r="A29" s="144" t="s">
        <v>72</v>
      </c>
      <c r="B29" s="2" t="s">
        <v>12</v>
      </c>
      <c r="C29" s="144" t="s">
        <v>73</v>
      </c>
      <c r="D29" s="1">
        <v>2025</v>
      </c>
      <c r="E29" s="84" t="s">
        <v>14</v>
      </c>
      <c r="F29" s="140" t="s">
        <v>74</v>
      </c>
      <c r="G29" s="80" t="str">
        <f>HYPERLINK("https://www.lyellcollection.org/toc/sp/544/1")</f>
        <v>https://www.lyellcollection.org/toc/sp/544/1</v>
      </c>
      <c r="H29" s="261" t="s">
        <v>70</v>
      </c>
      <c r="I29" s="47" t="s">
        <v>2913</v>
      </c>
      <c r="J29" s="1" t="s">
        <v>71</v>
      </c>
      <c r="K29" s="47">
        <v>170</v>
      </c>
      <c r="L29" s="87"/>
    </row>
    <row r="30" spans="1:29" s="139" customFormat="1" ht="31.2" customHeight="1" x14ac:dyDescent="0.2">
      <c r="A30" s="6" t="s">
        <v>75</v>
      </c>
      <c r="B30" s="6" t="s">
        <v>76</v>
      </c>
      <c r="C30" s="321" t="s">
        <v>77</v>
      </c>
      <c r="D30" s="4">
        <v>2025</v>
      </c>
      <c r="E30" s="3" t="s">
        <v>14</v>
      </c>
      <c r="F30" s="256" t="s">
        <v>78</v>
      </c>
      <c r="G30" s="63" t="s">
        <v>79</v>
      </c>
      <c r="H30" s="191"/>
      <c r="I30" s="192"/>
      <c r="J30" s="1" t="s">
        <v>71</v>
      </c>
      <c r="K30" s="47">
        <v>50</v>
      </c>
      <c r="L30" s="317"/>
      <c r="M30" s="24"/>
      <c r="N30" s="24"/>
      <c r="O30" s="24"/>
      <c r="P30" s="24"/>
      <c r="Q30" s="24"/>
      <c r="R30" s="24"/>
      <c r="S30" s="24"/>
      <c r="T30" s="24"/>
      <c r="U30" s="24"/>
      <c r="V30" s="24"/>
      <c r="W30" s="24"/>
      <c r="X30" s="24"/>
      <c r="Y30" s="24"/>
      <c r="Z30" s="24"/>
      <c r="AA30" s="24"/>
      <c r="AB30" s="24"/>
      <c r="AC30" s="24"/>
    </row>
    <row r="31" spans="1:29" ht="31.2" customHeight="1" x14ac:dyDescent="0.2">
      <c r="A31" s="2" t="s">
        <v>94</v>
      </c>
      <c r="B31" s="244" t="s">
        <v>12</v>
      </c>
      <c r="C31" s="2" t="s">
        <v>95</v>
      </c>
      <c r="D31" s="1">
        <v>2024</v>
      </c>
      <c r="E31" s="75" t="s">
        <v>14</v>
      </c>
      <c r="F31" s="140" t="s">
        <v>96</v>
      </c>
      <c r="G31" s="80" t="str">
        <f>HYPERLINK("https://www.lyellcollection.org/toc/sp/547/1")</f>
        <v>https://www.lyellcollection.org/toc/sp/547/1</v>
      </c>
      <c r="H31" s="261" t="s">
        <v>70</v>
      </c>
      <c r="I31" s="47" t="s">
        <v>2913</v>
      </c>
      <c r="J31" s="1" t="s">
        <v>71</v>
      </c>
      <c r="K31" s="47">
        <v>140</v>
      </c>
      <c r="L31" s="87"/>
      <c r="M31" s="139"/>
      <c r="N31" s="139"/>
      <c r="O31" s="139"/>
      <c r="P31" s="139"/>
      <c r="Q31" s="139"/>
      <c r="R31" s="139"/>
      <c r="S31" s="139"/>
      <c r="T31" s="139"/>
      <c r="U31" s="139"/>
      <c r="V31" s="139"/>
      <c r="W31" s="139"/>
      <c r="X31" s="139"/>
      <c r="Y31" s="139"/>
      <c r="Z31" s="139"/>
      <c r="AA31" s="139"/>
      <c r="AB31" s="139"/>
      <c r="AC31" s="139"/>
    </row>
    <row r="32" spans="1:29" s="139" customFormat="1" ht="31.2" customHeight="1" x14ac:dyDescent="0.25">
      <c r="A32" s="144" t="s">
        <v>97</v>
      </c>
      <c r="B32" s="60" t="s">
        <v>12</v>
      </c>
      <c r="C32" s="144" t="s">
        <v>98</v>
      </c>
      <c r="D32" s="1">
        <v>2024</v>
      </c>
      <c r="E32" s="75" t="s">
        <v>14</v>
      </c>
      <c r="F32" s="140" t="s">
        <v>99</v>
      </c>
      <c r="G32" s="80" t="str">
        <f>HYPERLINK("https://www.lyellcollection.org/toc/sp/546/1")</f>
        <v>https://www.lyellcollection.org/toc/sp/546/1</v>
      </c>
      <c r="H32" s="261" t="s">
        <v>70</v>
      </c>
      <c r="I32" s="47" t="s">
        <v>2913</v>
      </c>
      <c r="J32" s="1" t="s">
        <v>71</v>
      </c>
      <c r="K32" s="47">
        <v>110</v>
      </c>
      <c r="L32" s="87"/>
    </row>
    <row r="33" spans="1:29" s="139" customFormat="1" ht="31.2" customHeight="1" x14ac:dyDescent="0.2">
      <c r="A33" s="5" t="s">
        <v>100</v>
      </c>
      <c r="B33" s="2" t="s">
        <v>12</v>
      </c>
      <c r="C33" s="244" t="s">
        <v>101</v>
      </c>
      <c r="D33" s="1">
        <v>2024</v>
      </c>
      <c r="E33" s="75" t="s">
        <v>14</v>
      </c>
      <c r="F33" s="4" t="s">
        <v>102</v>
      </c>
      <c r="G33" s="80" t="str">
        <f>HYPERLINK("https://www.lyellcollection.org/toc/sp/543/1")</f>
        <v>https://www.lyellcollection.org/toc/sp/543/1</v>
      </c>
      <c r="H33" s="2" t="s">
        <v>70</v>
      </c>
      <c r="I33" s="47" t="s">
        <v>2913</v>
      </c>
      <c r="J33" s="1" t="s">
        <v>71</v>
      </c>
      <c r="K33" s="47">
        <v>100</v>
      </c>
      <c r="L33" s="87"/>
      <c r="M33" s="24"/>
      <c r="N33" s="24"/>
      <c r="O33" s="24"/>
      <c r="P33" s="24"/>
      <c r="Q33" s="24"/>
      <c r="R33" s="24"/>
      <c r="S33" s="24"/>
      <c r="T33" s="24"/>
      <c r="U33" s="24"/>
      <c r="V33" s="24"/>
      <c r="W33" s="24"/>
      <c r="X33" s="24"/>
      <c r="Y33" s="24"/>
      <c r="Z33" s="24"/>
      <c r="AA33" s="24"/>
      <c r="AB33" s="24"/>
      <c r="AC33" s="24"/>
    </row>
    <row r="34" spans="1:29" s="81" customFormat="1" ht="31.2" customHeight="1" x14ac:dyDescent="0.2">
      <c r="A34" s="5" t="s">
        <v>103</v>
      </c>
      <c r="B34" s="2" t="s">
        <v>12</v>
      </c>
      <c r="C34" s="244" t="s">
        <v>104</v>
      </c>
      <c r="D34" s="1">
        <v>2024</v>
      </c>
      <c r="E34" s="75" t="s">
        <v>14</v>
      </c>
      <c r="F34" s="4" t="s">
        <v>105</v>
      </c>
      <c r="G34" s="80" t="str">
        <f>HYPERLINK("https://www.lyellcollection.org/toc/sp/542/1")</f>
        <v>https://www.lyellcollection.org/toc/sp/542/1</v>
      </c>
      <c r="H34" s="2" t="s">
        <v>70</v>
      </c>
      <c r="I34" s="47" t="s">
        <v>2913</v>
      </c>
      <c r="J34" s="1" t="s">
        <v>71</v>
      </c>
      <c r="K34" s="47">
        <v>180</v>
      </c>
      <c r="L34" s="87"/>
      <c r="M34" s="24"/>
      <c r="N34" s="24"/>
      <c r="O34" s="24"/>
      <c r="P34" s="24"/>
      <c r="Q34" s="24"/>
      <c r="R34" s="24"/>
      <c r="S34" s="24"/>
      <c r="T34" s="24"/>
      <c r="U34" s="24"/>
      <c r="V34" s="24"/>
      <c r="W34" s="24"/>
      <c r="X34" s="24"/>
      <c r="Y34" s="24"/>
      <c r="Z34" s="24"/>
      <c r="AA34" s="24"/>
      <c r="AB34" s="24"/>
      <c r="AC34" s="24"/>
    </row>
    <row r="35" spans="1:29" s="17" customFormat="1" ht="31.2" customHeight="1" x14ac:dyDescent="0.2">
      <c r="A35" s="5" t="s">
        <v>106</v>
      </c>
      <c r="B35" s="2" t="s">
        <v>12</v>
      </c>
      <c r="C35" s="145" t="s">
        <v>107</v>
      </c>
      <c r="D35" s="1">
        <v>2024</v>
      </c>
      <c r="E35" s="75" t="s">
        <v>14</v>
      </c>
      <c r="F35" s="4" t="s">
        <v>108</v>
      </c>
      <c r="G35" s="80" t="str">
        <f>HYPERLINK("https://www.lyellcollection.org/toc/sp/541/1")</f>
        <v>https://www.lyellcollection.org/toc/sp/541/1</v>
      </c>
      <c r="H35" s="261" t="s">
        <v>70</v>
      </c>
      <c r="I35" s="47" t="s">
        <v>2913</v>
      </c>
      <c r="J35" s="1" t="s">
        <v>71</v>
      </c>
      <c r="K35" s="47">
        <v>130</v>
      </c>
      <c r="L35" s="90"/>
      <c r="M35" s="24"/>
      <c r="N35" s="24"/>
      <c r="O35" s="24"/>
      <c r="P35" s="24"/>
      <c r="Q35" s="24"/>
      <c r="R35" s="24"/>
      <c r="S35" s="24"/>
      <c r="T35" s="24"/>
      <c r="U35" s="24"/>
      <c r="V35" s="24"/>
      <c r="W35" s="24"/>
      <c r="X35" s="24"/>
      <c r="Y35" s="24"/>
      <c r="Z35" s="24"/>
      <c r="AA35" s="24"/>
      <c r="AB35" s="24"/>
      <c r="AC35" s="24"/>
    </row>
    <row r="36" spans="1:29" s="41" customFormat="1" ht="31.2" customHeight="1" x14ac:dyDescent="0.2">
      <c r="A36" s="5" t="s">
        <v>84</v>
      </c>
      <c r="B36" s="2" t="s">
        <v>12</v>
      </c>
      <c r="C36" s="145" t="s">
        <v>85</v>
      </c>
      <c r="D36" s="1">
        <v>2024</v>
      </c>
      <c r="E36" s="75" t="s">
        <v>14</v>
      </c>
      <c r="F36" s="86" t="s">
        <v>86</v>
      </c>
      <c r="G36" s="80" t="str">
        <f>HYPERLINK("https://www.lyellcollection.org/toc/sp/540/1")</f>
        <v>https://www.lyellcollection.org/toc/sp/540/1</v>
      </c>
      <c r="H36" s="261" t="s">
        <v>70</v>
      </c>
      <c r="I36" s="47" t="s">
        <v>2913</v>
      </c>
      <c r="J36" s="1" t="s">
        <v>71</v>
      </c>
      <c r="K36" s="47">
        <v>90</v>
      </c>
      <c r="L36" s="90"/>
      <c r="M36" s="24"/>
      <c r="N36" s="24"/>
      <c r="O36" s="24"/>
      <c r="P36" s="24"/>
      <c r="Q36" s="24"/>
      <c r="R36" s="24"/>
      <c r="S36" s="24"/>
      <c r="T36" s="24"/>
      <c r="U36" s="24"/>
      <c r="V36" s="24"/>
      <c r="W36" s="24"/>
      <c r="X36" s="24"/>
      <c r="Y36" s="24"/>
      <c r="Z36" s="24"/>
      <c r="AA36" s="24"/>
      <c r="AB36" s="24"/>
      <c r="AC36" s="24"/>
    </row>
    <row r="37" spans="1:29" ht="31.2" customHeight="1" x14ac:dyDescent="0.2">
      <c r="A37" s="5" t="s">
        <v>109</v>
      </c>
      <c r="B37" s="2" t="s">
        <v>12</v>
      </c>
      <c r="C37" s="6" t="s">
        <v>110</v>
      </c>
      <c r="D37" s="4">
        <v>2024</v>
      </c>
      <c r="E37" s="75" t="s">
        <v>14</v>
      </c>
      <c r="F37" s="4" t="s">
        <v>111</v>
      </c>
      <c r="G37" s="80" t="str">
        <f>HYPERLINK("https://www.lyellcollection.org/toc/sp/539/1")</f>
        <v>https://www.lyellcollection.org/toc/sp/539/1</v>
      </c>
      <c r="H37" s="261" t="s">
        <v>70</v>
      </c>
      <c r="I37" s="47" t="s">
        <v>83</v>
      </c>
      <c r="J37" s="1" t="s">
        <v>71</v>
      </c>
      <c r="K37" s="47">
        <v>110</v>
      </c>
      <c r="L37" s="94"/>
    </row>
    <row r="38" spans="1:29" s="139" customFormat="1" ht="31.2" customHeight="1" x14ac:dyDescent="0.2">
      <c r="A38" s="5" t="s">
        <v>112</v>
      </c>
      <c r="B38" s="2" t="s">
        <v>12</v>
      </c>
      <c r="C38" s="5" t="s">
        <v>113</v>
      </c>
      <c r="D38" s="4">
        <v>2024</v>
      </c>
      <c r="E38" s="75" t="s">
        <v>14</v>
      </c>
      <c r="F38" s="274" t="s">
        <v>114</v>
      </c>
      <c r="G38" s="80" t="str">
        <f>HYPERLINK("https://www.lyellcollection.org/toc/sp/538/1")</f>
        <v>https://www.lyellcollection.org/toc/sp/538/1</v>
      </c>
      <c r="H38" s="261" t="s">
        <v>70</v>
      </c>
      <c r="I38" s="47" t="s">
        <v>2913</v>
      </c>
      <c r="J38" s="1" t="s">
        <v>71</v>
      </c>
      <c r="K38" s="47">
        <v>120</v>
      </c>
      <c r="L38" s="94"/>
      <c r="M38" s="24"/>
      <c r="N38" s="24"/>
      <c r="O38" s="24"/>
      <c r="P38" s="24"/>
      <c r="Q38" s="24"/>
      <c r="R38" s="24"/>
      <c r="S38" s="24"/>
      <c r="T38" s="24"/>
      <c r="U38" s="24"/>
      <c r="V38" s="24"/>
      <c r="W38" s="24"/>
      <c r="X38" s="24"/>
      <c r="Y38" s="24"/>
      <c r="Z38" s="24"/>
      <c r="AA38" s="24"/>
      <c r="AB38" s="24"/>
      <c r="AC38" s="24"/>
    </row>
    <row r="39" spans="1:29" s="41" customFormat="1" ht="31.2" customHeight="1" x14ac:dyDescent="0.2">
      <c r="A39" s="144" t="s">
        <v>115</v>
      </c>
      <c r="B39" s="145" t="s">
        <v>12</v>
      </c>
      <c r="C39" s="144" t="s">
        <v>116</v>
      </c>
      <c r="D39" s="16">
        <v>2024</v>
      </c>
      <c r="E39" s="75" t="s">
        <v>14</v>
      </c>
      <c r="F39" s="74" t="s">
        <v>117</v>
      </c>
      <c r="G39" s="65" t="str">
        <f>HYPERLINK("https://www.lyellcollection.org/toc/sp/537/1")</f>
        <v>https://www.lyellcollection.org/toc/sp/537/1</v>
      </c>
      <c r="H39" s="261" t="s">
        <v>70</v>
      </c>
      <c r="I39" s="47" t="s">
        <v>2913</v>
      </c>
      <c r="J39" s="1" t="s">
        <v>71</v>
      </c>
      <c r="K39" s="47">
        <v>170</v>
      </c>
      <c r="L39" s="87"/>
    </row>
    <row r="40" spans="1:29" ht="31.2" customHeight="1" x14ac:dyDescent="0.2">
      <c r="A40" s="144" t="s">
        <v>118</v>
      </c>
      <c r="B40" s="145" t="s">
        <v>12</v>
      </c>
      <c r="C40" s="144" t="s">
        <v>119</v>
      </c>
      <c r="D40" s="16">
        <v>2024</v>
      </c>
      <c r="E40" s="3" t="s">
        <v>14</v>
      </c>
      <c r="F40" s="1" t="s">
        <v>120</v>
      </c>
      <c r="G40" s="65" t="str">
        <f>HYPERLINK("https://www.lyellcollection.org/toc/sp/534/1")</f>
        <v>https://www.lyellcollection.org/toc/sp/534/1</v>
      </c>
      <c r="H40" s="261" t="s">
        <v>70</v>
      </c>
      <c r="I40" s="47" t="s">
        <v>2913</v>
      </c>
      <c r="J40" s="1" t="s">
        <v>71</v>
      </c>
      <c r="K40" s="47">
        <v>120</v>
      </c>
      <c r="L40" s="87"/>
    </row>
    <row r="41" spans="1:29" ht="31.2" customHeight="1" x14ac:dyDescent="0.2">
      <c r="A41" s="2" t="s">
        <v>121</v>
      </c>
      <c r="B41" s="2" t="s">
        <v>12</v>
      </c>
      <c r="C41" s="2" t="s">
        <v>122</v>
      </c>
      <c r="D41" s="4">
        <v>2024</v>
      </c>
      <c r="E41" s="3" t="s">
        <v>14</v>
      </c>
      <c r="F41" s="4" t="s">
        <v>123</v>
      </c>
      <c r="G41" s="65" t="str">
        <f>HYPERLINK("https://www.lyellcollection.org/toc/sp/525/1")</f>
        <v>https://www.lyellcollection.org/toc/sp/525/1</v>
      </c>
      <c r="H41" s="261" t="s">
        <v>70</v>
      </c>
      <c r="I41" s="47" t="s">
        <v>2913</v>
      </c>
      <c r="J41" s="1" t="s">
        <v>71</v>
      </c>
      <c r="K41" s="47">
        <v>110</v>
      </c>
      <c r="L41" s="87"/>
    </row>
    <row r="42" spans="1:29" ht="31.2" customHeight="1" x14ac:dyDescent="0.2">
      <c r="A42" s="6" t="s">
        <v>124</v>
      </c>
      <c r="B42" s="5" t="s">
        <v>12</v>
      </c>
      <c r="C42" s="2" t="s">
        <v>125</v>
      </c>
      <c r="D42" s="1">
        <v>2024</v>
      </c>
      <c r="E42" s="3" t="s">
        <v>14</v>
      </c>
      <c r="F42" s="4" t="s">
        <v>126</v>
      </c>
      <c r="G42" s="65" t="str">
        <f>HYPERLINK("https://www.lyellcollection.org/toc/sp/519/1")</f>
        <v>https://www.lyellcollection.org/toc/sp/519/1</v>
      </c>
      <c r="H42" s="261" t="s">
        <v>70</v>
      </c>
      <c r="I42" s="47" t="s">
        <v>2913</v>
      </c>
      <c r="J42" s="1" t="s">
        <v>71</v>
      </c>
      <c r="K42" s="47">
        <v>100</v>
      </c>
      <c r="L42" s="89"/>
    </row>
    <row r="43" spans="1:29" ht="31.2" customHeight="1" x14ac:dyDescent="0.2">
      <c r="A43" s="144" t="s">
        <v>80</v>
      </c>
      <c r="B43" s="2" t="s">
        <v>39</v>
      </c>
      <c r="C43" s="31" t="s">
        <v>81</v>
      </c>
      <c r="D43" s="21">
        <v>2024</v>
      </c>
      <c r="E43" s="231" t="s">
        <v>14</v>
      </c>
      <c r="F43" s="86" t="s">
        <v>82</v>
      </c>
      <c r="G43" s="65" t="str">
        <f>HYPERLINK("https://www.lyellcollection.org/toc/mem/60/1")</f>
        <v>https://www.lyellcollection.org/toc/mem/60/1</v>
      </c>
      <c r="H43" s="261" t="s">
        <v>70</v>
      </c>
      <c r="I43" s="47" t="s">
        <v>83</v>
      </c>
      <c r="J43" s="1" t="s">
        <v>71</v>
      </c>
      <c r="K43" s="47">
        <v>130</v>
      </c>
      <c r="L43" s="87"/>
      <c r="M43" s="139"/>
      <c r="N43" s="139"/>
      <c r="O43" s="139"/>
      <c r="P43" s="139"/>
      <c r="Q43" s="139"/>
      <c r="R43" s="139"/>
      <c r="S43" s="139"/>
      <c r="T43" s="139"/>
      <c r="U43" s="139"/>
      <c r="V43" s="139"/>
      <c r="W43" s="139"/>
      <c r="X43" s="139"/>
      <c r="Y43" s="139"/>
      <c r="Z43" s="139"/>
      <c r="AA43" s="139"/>
      <c r="AB43" s="139"/>
      <c r="AC43" s="139"/>
    </row>
    <row r="44" spans="1:29" ht="31.2" customHeight="1" x14ac:dyDescent="0.2">
      <c r="A44" s="6" t="s">
        <v>87</v>
      </c>
      <c r="B44" s="5" t="s">
        <v>88</v>
      </c>
      <c r="C44" s="236" t="s">
        <v>89</v>
      </c>
      <c r="D44" s="4">
        <v>2024</v>
      </c>
      <c r="E44" s="4" t="s">
        <v>14</v>
      </c>
      <c r="F44" s="16" t="s">
        <v>90</v>
      </c>
      <c r="G44" s="63" t="s">
        <v>79</v>
      </c>
      <c r="H44" s="283"/>
      <c r="I44" s="192"/>
      <c r="J44" s="1" t="s">
        <v>71</v>
      </c>
      <c r="K44" s="47">
        <v>90</v>
      </c>
      <c r="L44" s="53"/>
    </row>
    <row r="45" spans="1:29" s="81" customFormat="1" ht="31.2" customHeight="1" x14ac:dyDescent="0.2">
      <c r="A45" s="6" t="s">
        <v>91</v>
      </c>
      <c r="B45" s="5" t="s">
        <v>88</v>
      </c>
      <c r="C45" s="236" t="s">
        <v>92</v>
      </c>
      <c r="D45" s="4">
        <v>2024</v>
      </c>
      <c r="E45" s="4" t="s">
        <v>14</v>
      </c>
      <c r="F45" s="16" t="s">
        <v>93</v>
      </c>
      <c r="G45" s="63" t="s">
        <v>79</v>
      </c>
      <c r="H45" s="283"/>
      <c r="I45" s="192"/>
      <c r="J45" s="1" t="s">
        <v>71</v>
      </c>
      <c r="K45" s="47">
        <v>130</v>
      </c>
      <c r="L45" s="53"/>
      <c r="M45" s="24"/>
      <c r="N45" s="24"/>
      <c r="O45" s="24"/>
      <c r="P45" s="24"/>
      <c r="Q45" s="24"/>
      <c r="R45" s="24"/>
      <c r="S45" s="24"/>
      <c r="T45" s="24"/>
      <c r="U45" s="24"/>
      <c r="V45" s="24"/>
      <c r="W45" s="24"/>
      <c r="X45" s="24"/>
      <c r="Y45" s="24"/>
      <c r="Z45" s="24"/>
      <c r="AA45" s="24"/>
      <c r="AB45" s="24"/>
      <c r="AC45" s="24"/>
    </row>
    <row r="46" spans="1:29" s="17" customFormat="1" ht="31.2" customHeight="1" x14ac:dyDescent="0.2">
      <c r="A46" s="144" t="s">
        <v>127</v>
      </c>
      <c r="B46" s="145" t="s">
        <v>12</v>
      </c>
      <c r="C46" s="144" t="s">
        <v>128</v>
      </c>
      <c r="D46" s="16">
        <v>2023</v>
      </c>
      <c r="E46" s="75" t="s">
        <v>14</v>
      </c>
      <c r="F46" s="74" t="s">
        <v>129</v>
      </c>
      <c r="G46" s="65" t="str">
        <f>HYPERLINK("https://www.lyellcollection.org/toc/sp/536/1")</f>
        <v>https://www.lyellcollection.org/toc/sp/536/1</v>
      </c>
      <c r="H46" s="261" t="s">
        <v>70</v>
      </c>
      <c r="I46" s="27" t="s">
        <v>83</v>
      </c>
      <c r="J46" s="83" t="s">
        <v>71</v>
      </c>
      <c r="K46" s="285">
        <v>110</v>
      </c>
      <c r="L46" s="88"/>
      <c r="M46" s="24"/>
      <c r="N46" s="24"/>
      <c r="O46" s="24"/>
      <c r="P46" s="24"/>
      <c r="Q46" s="24"/>
      <c r="R46" s="24"/>
      <c r="S46" s="24"/>
      <c r="T46" s="24"/>
      <c r="U46" s="24"/>
      <c r="V46" s="24"/>
      <c r="W46" s="24"/>
      <c r="X46" s="24"/>
      <c r="Y46" s="24"/>
      <c r="Z46" s="24"/>
      <c r="AA46" s="24"/>
      <c r="AB46" s="24"/>
      <c r="AC46" s="24"/>
    </row>
    <row r="47" spans="1:29" s="17" customFormat="1" ht="31.2" customHeight="1" x14ac:dyDescent="0.2">
      <c r="A47" s="260" t="s">
        <v>130</v>
      </c>
      <c r="B47" s="265" t="s">
        <v>12</v>
      </c>
      <c r="C47" s="260" t="s">
        <v>131</v>
      </c>
      <c r="D47" s="269">
        <v>2023</v>
      </c>
      <c r="E47" s="134" t="s">
        <v>14</v>
      </c>
      <c r="F47" s="136" t="s">
        <v>132</v>
      </c>
      <c r="G47" s="279" t="str">
        <f>HYPERLINK("https://www.lyellcollection.org/toc/sp/535/1")</f>
        <v>https://www.lyellcollection.org/toc/sp/535/1</v>
      </c>
      <c r="H47" s="282" t="s">
        <v>70</v>
      </c>
      <c r="I47" s="135" t="s">
        <v>2913</v>
      </c>
      <c r="J47" s="277" t="s">
        <v>71</v>
      </c>
      <c r="K47" s="289">
        <v>160</v>
      </c>
      <c r="L47" s="290"/>
      <c r="M47" s="24"/>
      <c r="N47" s="24"/>
      <c r="O47" s="24"/>
      <c r="P47" s="24"/>
      <c r="Q47" s="24"/>
      <c r="R47" s="24"/>
      <c r="S47" s="24"/>
      <c r="T47" s="24"/>
      <c r="U47" s="24"/>
      <c r="V47" s="24"/>
      <c r="W47" s="24"/>
      <c r="X47" s="24"/>
      <c r="Y47" s="24"/>
      <c r="Z47" s="24"/>
      <c r="AA47" s="24"/>
      <c r="AB47" s="24"/>
      <c r="AC47" s="24"/>
    </row>
    <row r="48" spans="1:29" s="17" customFormat="1" ht="31.2" customHeight="1" x14ac:dyDescent="0.2">
      <c r="A48" s="144" t="s">
        <v>133</v>
      </c>
      <c r="B48" s="145" t="s">
        <v>12</v>
      </c>
      <c r="C48" s="144" t="s">
        <v>134</v>
      </c>
      <c r="D48" s="16">
        <v>2023</v>
      </c>
      <c r="E48" s="84" t="s">
        <v>14</v>
      </c>
      <c r="F48" s="23" t="s">
        <v>135</v>
      </c>
      <c r="G48" s="85" t="str">
        <f>HYPERLINK("https://www.lyellcollection.org/toc/sp/533/1")</f>
        <v>https://www.lyellcollection.org/toc/sp/533/1</v>
      </c>
      <c r="H48" s="282" t="s">
        <v>70</v>
      </c>
      <c r="I48" s="27" t="s">
        <v>2913</v>
      </c>
      <c r="J48" s="23" t="s">
        <v>71</v>
      </c>
      <c r="K48" s="285">
        <v>180</v>
      </c>
      <c r="L48" s="87"/>
      <c r="M48" s="24"/>
      <c r="N48" s="24"/>
      <c r="O48" s="24"/>
      <c r="P48" s="24"/>
      <c r="Q48" s="24"/>
      <c r="R48" s="24"/>
      <c r="S48" s="24"/>
      <c r="T48" s="24"/>
      <c r="U48" s="24"/>
      <c r="V48" s="24"/>
      <c r="W48" s="24"/>
      <c r="X48" s="24"/>
      <c r="Y48" s="24"/>
      <c r="Z48" s="24"/>
      <c r="AA48" s="24"/>
      <c r="AB48" s="24"/>
      <c r="AC48" s="24"/>
    </row>
    <row r="49" spans="1:29" s="17" customFormat="1" ht="31.2" customHeight="1" x14ac:dyDescent="0.2">
      <c r="A49" s="144" t="s">
        <v>136</v>
      </c>
      <c r="B49" s="145" t="s">
        <v>12</v>
      </c>
      <c r="C49" s="144" t="s">
        <v>137</v>
      </c>
      <c r="D49" s="16">
        <v>2023</v>
      </c>
      <c r="E49" s="84" t="s">
        <v>14</v>
      </c>
      <c r="F49" s="23" t="s">
        <v>138</v>
      </c>
      <c r="G49" s="85" t="str">
        <f>HYPERLINK("https://www.lyellcollection.org/toc/sp/532/1")</f>
        <v>https://www.lyellcollection.org/toc/sp/532/1</v>
      </c>
      <c r="H49" s="282" t="s">
        <v>70</v>
      </c>
      <c r="I49" s="27" t="s">
        <v>2913</v>
      </c>
      <c r="J49" s="23" t="s">
        <v>71</v>
      </c>
      <c r="K49" s="285">
        <v>180</v>
      </c>
      <c r="L49" s="87"/>
      <c r="M49" s="24"/>
      <c r="N49" s="24"/>
      <c r="O49" s="24"/>
      <c r="P49" s="24"/>
      <c r="Q49" s="24"/>
      <c r="R49" s="24"/>
      <c r="S49" s="24"/>
      <c r="T49" s="24"/>
      <c r="U49" s="24"/>
      <c r="V49" s="24"/>
      <c r="W49" s="24"/>
      <c r="X49" s="24"/>
      <c r="Y49" s="24"/>
      <c r="Z49" s="24"/>
      <c r="AA49" s="24"/>
      <c r="AB49" s="24"/>
      <c r="AC49" s="24"/>
    </row>
    <row r="50" spans="1:29" ht="31.2" customHeight="1" x14ac:dyDescent="0.2">
      <c r="A50" s="260" t="s">
        <v>139</v>
      </c>
      <c r="B50" s="265" t="s">
        <v>12</v>
      </c>
      <c r="C50" s="260" t="s">
        <v>140</v>
      </c>
      <c r="D50" s="269">
        <v>2023</v>
      </c>
      <c r="E50" s="271" t="s">
        <v>14</v>
      </c>
      <c r="F50" s="277" t="s">
        <v>141</v>
      </c>
      <c r="G50" s="281" t="str">
        <f>HYPERLINK("https://www.lyellcollection.org/toc/sp/531/1")</f>
        <v>https://www.lyellcollection.org/toc/sp/531/1</v>
      </c>
      <c r="H50" s="267" t="s">
        <v>70</v>
      </c>
      <c r="I50" s="287" t="s">
        <v>2913</v>
      </c>
      <c r="J50" s="1" t="s">
        <v>71</v>
      </c>
      <c r="K50" s="285">
        <v>140</v>
      </c>
      <c r="L50" s="87"/>
    </row>
    <row r="51" spans="1:29" ht="31.2" customHeight="1" x14ac:dyDescent="0.2">
      <c r="A51" s="144" t="s">
        <v>142</v>
      </c>
      <c r="B51" s="145" t="s">
        <v>12</v>
      </c>
      <c r="C51" s="144" t="s">
        <v>143</v>
      </c>
      <c r="D51" s="16">
        <v>2023</v>
      </c>
      <c r="E51" s="3" t="s">
        <v>14</v>
      </c>
      <c r="F51" s="1" t="s">
        <v>144</v>
      </c>
      <c r="G51" s="65" t="str">
        <f>HYPERLINK("https://www.lyellcollection.org/toc/sp/530/1")</f>
        <v>https://www.lyellcollection.org/toc/sp/530/1</v>
      </c>
      <c r="H51" s="282" t="s">
        <v>70</v>
      </c>
      <c r="I51" s="47" t="s">
        <v>2913</v>
      </c>
      <c r="J51" s="1" t="s">
        <v>71</v>
      </c>
      <c r="K51" s="285">
        <v>140</v>
      </c>
      <c r="L51" s="87"/>
    </row>
    <row r="52" spans="1:29" s="17" customFormat="1" ht="31.2" customHeight="1" x14ac:dyDescent="0.2">
      <c r="A52" s="144" t="s">
        <v>145</v>
      </c>
      <c r="B52" s="145" t="s">
        <v>12</v>
      </c>
      <c r="C52" s="144" t="s">
        <v>146</v>
      </c>
      <c r="D52" s="16">
        <v>2023</v>
      </c>
      <c r="E52" s="3" t="s">
        <v>14</v>
      </c>
      <c r="F52" s="1" t="s">
        <v>147</v>
      </c>
      <c r="G52" s="65" t="str">
        <f>HYPERLINK("https://www.lyellcollection.org/toc/sp/529/1")</f>
        <v>https://www.lyellcollection.org/toc/sp/529/1</v>
      </c>
      <c r="H52" s="282" t="s">
        <v>70</v>
      </c>
      <c r="I52" s="47" t="s">
        <v>2913</v>
      </c>
      <c r="J52" s="1" t="s">
        <v>71</v>
      </c>
      <c r="K52" s="285">
        <v>110</v>
      </c>
      <c r="L52" s="87"/>
      <c r="M52" s="24"/>
      <c r="N52" s="24"/>
      <c r="O52" s="24"/>
      <c r="P52" s="24"/>
      <c r="Q52" s="24"/>
      <c r="R52" s="24"/>
      <c r="S52" s="24"/>
      <c r="T52" s="24"/>
      <c r="U52" s="24"/>
      <c r="V52" s="24"/>
      <c r="W52" s="24"/>
      <c r="X52" s="24"/>
      <c r="Y52" s="24"/>
      <c r="Z52" s="24"/>
      <c r="AA52" s="24"/>
    </row>
    <row r="53" spans="1:29" s="17" customFormat="1" ht="31.2" customHeight="1" x14ac:dyDescent="0.2">
      <c r="A53" s="144" t="s">
        <v>148</v>
      </c>
      <c r="B53" s="145" t="s">
        <v>12</v>
      </c>
      <c r="C53" s="144" t="s">
        <v>149</v>
      </c>
      <c r="D53" s="16">
        <v>2023</v>
      </c>
      <c r="E53" s="3" t="s">
        <v>14</v>
      </c>
      <c r="F53" s="1" t="s">
        <v>150</v>
      </c>
      <c r="G53" s="65" t="str">
        <f>HYPERLINK("https://www.lyellcollection.org/toc/sp/528/1")</f>
        <v>https://www.lyellcollection.org/toc/sp/528/1</v>
      </c>
      <c r="H53" s="261" t="s">
        <v>70</v>
      </c>
      <c r="I53" s="47" t="s">
        <v>2913</v>
      </c>
      <c r="J53" s="83" t="s">
        <v>71</v>
      </c>
      <c r="K53" s="285">
        <v>130</v>
      </c>
      <c r="L53" s="87"/>
      <c r="M53" s="24"/>
      <c r="N53" s="24"/>
      <c r="O53" s="24"/>
      <c r="P53" s="24"/>
      <c r="Q53" s="24"/>
      <c r="R53" s="24"/>
      <c r="S53" s="24"/>
      <c r="T53" s="24"/>
      <c r="U53" s="24"/>
      <c r="V53" s="24"/>
      <c r="W53" s="24"/>
      <c r="X53" s="24"/>
      <c r="Y53" s="24"/>
      <c r="Z53" s="24"/>
      <c r="AA53" s="24"/>
      <c r="AB53" s="24"/>
      <c r="AC53" s="24"/>
    </row>
    <row r="54" spans="1:29" s="17" customFormat="1" ht="31.2" customHeight="1" x14ac:dyDescent="0.2">
      <c r="A54" s="262" t="s">
        <v>151</v>
      </c>
      <c r="B54" s="145" t="s">
        <v>12</v>
      </c>
      <c r="C54" s="144" t="s">
        <v>152</v>
      </c>
      <c r="D54" s="16">
        <v>2023</v>
      </c>
      <c r="E54" s="3" t="s">
        <v>14</v>
      </c>
      <c r="F54" s="1" t="s">
        <v>153</v>
      </c>
      <c r="G54" s="65" t="str">
        <f>HYPERLINK("https://www.lyellcollection.org/toc/sp/527/1")</f>
        <v>https://www.lyellcollection.org/toc/sp/527/1</v>
      </c>
      <c r="H54" s="261" t="s">
        <v>70</v>
      </c>
      <c r="I54" s="47" t="s">
        <v>2913</v>
      </c>
      <c r="J54" s="1" t="s">
        <v>71</v>
      </c>
      <c r="K54" s="285">
        <v>110</v>
      </c>
      <c r="L54" s="87"/>
      <c r="M54" s="24"/>
      <c r="N54" s="24"/>
      <c r="O54" s="24"/>
      <c r="P54" s="24"/>
      <c r="Q54" s="24"/>
      <c r="R54" s="24"/>
      <c r="S54" s="24"/>
      <c r="T54" s="24"/>
      <c r="U54" s="24"/>
      <c r="V54" s="24"/>
      <c r="W54" s="24"/>
      <c r="X54" s="24"/>
      <c r="Y54" s="24"/>
      <c r="Z54" s="24"/>
      <c r="AA54" s="24"/>
      <c r="AB54" s="24"/>
      <c r="AC54" s="24"/>
    </row>
    <row r="55" spans="1:29" s="17" customFormat="1" ht="31.2" customHeight="1" x14ac:dyDescent="0.2">
      <c r="A55" s="261" t="s">
        <v>154</v>
      </c>
      <c r="B55" s="2" t="s">
        <v>12</v>
      </c>
      <c r="C55" s="267" t="s">
        <v>155</v>
      </c>
      <c r="D55" s="4">
        <v>2023</v>
      </c>
      <c r="E55" s="3" t="s">
        <v>14</v>
      </c>
      <c r="F55" s="276" t="s">
        <v>156</v>
      </c>
      <c r="G55" s="65" t="str">
        <f>HYPERLINK("https://www.lyellcollection.org/toc/sp/526/1")</f>
        <v>https://www.lyellcollection.org/toc/sp/526/1</v>
      </c>
      <c r="H55" s="282" t="s">
        <v>70</v>
      </c>
      <c r="I55" s="47" t="s">
        <v>2913</v>
      </c>
      <c r="J55" s="1" t="s">
        <v>71</v>
      </c>
      <c r="K55" s="285">
        <v>100</v>
      </c>
      <c r="L55" s="87"/>
      <c r="M55" s="24"/>
      <c r="N55" s="24"/>
      <c r="O55" s="24"/>
      <c r="P55" s="24"/>
      <c r="Q55" s="24"/>
      <c r="R55" s="24"/>
      <c r="S55" s="24"/>
      <c r="T55" s="24"/>
      <c r="U55" s="24"/>
      <c r="V55" s="24"/>
      <c r="W55" s="24"/>
      <c r="X55" s="24"/>
      <c r="Y55" s="24"/>
      <c r="Z55" s="24"/>
      <c r="AA55" s="24"/>
      <c r="AB55" s="24"/>
      <c r="AC55" s="24"/>
    </row>
    <row r="56" spans="1:29" s="17" customFormat="1" ht="31.2" customHeight="1" x14ac:dyDescent="0.2">
      <c r="A56" s="2" t="s">
        <v>157</v>
      </c>
      <c r="B56" s="2" t="s">
        <v>12</v>
      </c>
      <c r="C56" s="2" t="s">
        <v>158</v>
      </c>
      <c r="D56" s="4">
        <v>2023</v>
      </c>
      <c r="E56" s="3" t="s">
        <v>14</v>
      </c>
      <c r="F56" s="4" t="s">
        <v>159</v>
      </c>
      <c r="G56" s="65" t="str">
        <f>HYPERLINK("https://www.lyellcollection.org/toc/sp/524/1")</f>
        <v>https://www.lyellcollection.org/toc/sp/524/1</v>
      </c>
      <c r="H56" s="282" t="s">
        <v>70</v>
      </c>
      <c r="I56" s="47" t="s">
        <v>2913</v>
      </c>
      <c r="J56" s="1" t="s">
        <v>71</v>
      </c>
      <c r="K56" s="285">
        <v>100</v>
      </c>
      <c r="L56" s="87"/>
      <c r="M56" s="24"/>
      <c r="N56" s="24"/>
      <c r="O56" s="24"/>
      <c r="P56" s="24"/>
      <c r="Q56" s="24"/>
      <c r="R56" s="24"/>
      <c r="S56" s="24"/>
      <c r="T56" s="24"/>
      <c r="U56" s="24"/>
      <c r="V56" s="24"/>
      <c r="W56" s="24"/>
      <c r="X56" s="24"/>
      <c r="Y56" s="24"/>
      <c r="Z56" s="24"/>
      <c r="AA56" s="24"/>
      <c r="AB56" s="24"/>
      <c r="AC56" s="24"/>
    </row>
    <row r="57" spans="1:29" s="17" customFormat="1" ht="31.2" customHeight="1" x14ac:dyDescent="0.2">
      <c r="A57" s="145" t="s">
        <v>160</v>
      </c>
      <c r="B57" s="145" t="s">
        <v>12</v>
      </c>
      <c r="C57" s="145" t="s">
        <v>161</v>
      </c>
      <c r="D57" s="16">
        <v>2023</v>
      </c>
      <c r="E57" s="3" t="s">
        <v>14</v>
      </c>
      <c r="F57" s="4" t="s">
        <v>162</v>
      </c>
      <c r="G57" s="65" t="str">
        <f>HYPERLINK("https://www.lyellcollection.org/toc/sp/523/1")</f>
        <v>https://www.lyellcollection.org/toc/sp/523/1</v>
      </c>
      <c r="H57" s="261" t="s">
        <v>70</v>
      </c>
      <c r="I57" s="47" t="s">
        <v>2913</v>
      </c>
      <c r="J57" s="1" t="s">
        <v>71</v>
      </c>
      <c r="K57" s="285">
        <v>130</v>
      </c>
      <c r="L57" s="87"/>
      <c r="M57" s="24"/>
      <c r="N57" s="24"/>
      <c r="O57" s="24"/>
      <c r="P57" s="24"/>
      <c r="Q57" s="24"/>
      <c r="R57" s="24"/>
      <c r="S57" s="24"/>
      <c r="T57" s="24"/>
      <c r="U57" s="24"/>
      <c r="V57" s="24"/>
      <c r="W57" s="24"/>
      <c r="X57" s="24"/>
      <c r="Y57" s="24"/>
      <c r="Z57" s="24"/>
      <c r="AA57" s="24"/>
      <c r="AB57" s="24"/>
      <c r="AC57" s="24"/>
    </row>
    <row r="58" spans="1:29" s="17" customFormat="1" ht="31.2" customHeight="1" x14ac:dyDescent="0.2">
      <c r="A58" s="259" t="s">
        <v>163</v>
      </c>
      <c r="B58" s="264" t="s">
        <v>12</v>
      </c>
      <c r="C58" s="79" t="s">
        <v>164</v>
      </c>
      <c r="D58" s="1">
        <v>2023</v>
      </c>
      <c r="E58" s="84" t="s">
        <v>14</v>
      </c>
      <c r="F58" s="273" t="s">
        <v>165</v>
      </c>
      <c r="G58" s="85" t="str">
        <f>HYPERLINK("https://www.lyellcollection.org/toc/sp/522/1")</f>
        <v>https://www.lyellcollection.org/toc/sp/522/1</v>
      </c>
      <c r="H58" s="282" t="s">
        <v>70</v>
      </c>
      <c r="I58" s="286" t="s">
        <v>2913</v>
      </c>
      <c r="J58" s="137" t="s">
        <v>71</v>
      </c>
      <c r="K58" s="285">
        <v>100</v>
      </c>
      <c r="L58" s="291"/>
      <c r="M58" s="24"/>
      <c r="N58" s="24"/>
      <c r="O58" s="24"/>
      <c r="P58" s="24"/>
      <c r="Q58" s="24"/>
      <c r="R58" s="24"/>
      <c r="S58" s="24"/>
      <c r="T58" s="24"/>
      <c r="U58" s="24"/>
      <c r="V58" s="24"/>
      <c r="W58" s="24"/>
      <c r="X58" s="24"/>
      <c r="Y58" s="24"/>
      <c r="Z58" s="24"/>
      <c r="AA58" s="24"/>
      <c r="AB58" s="24"/>
      <c r="AC58" s="24"/>
    </row>
    <row r="59" spans="1:29" s="17" customFormat="1" ht="31.2" customHeight="1" x14ac:dyDescent="0.2">
      <c r="A59" s="5" t="s">
        <v>166</v>
      </c>
      <c r="B59" s="146" t="s">
        <v>12</v>
      </c>
      <c r="C59" s="2" t="s">
        <v>167</v>
      </c>
      <c r="D59" s="1">
        <v>2023</v>
      </c>
      <c r="E59" s="3" t="s">
        <v>14</v>
      </c>
      <c r="F59" s="4" t="s">
        <v>168</v>
      </c>
      <c r="G59" s="65" t="str">
        <f>HYPERLINK("https://www.lyellcollection.org/toc/sp/520/1")</f>
        <v>https://www.lyellcollection.org/toc/sp/520/1</v>
      </c>
      <c r="H59" s="261" t="s">
        <v>70</v>
      </c>
      <c r="I59" s="47" t="s">
        <v>2913</v>
      </c>
      <c r="J59" s="1" t="s">
        <v>71</v>
      </c>
      <c r="K59" s="285">
        <v>190</v>
      </c>
      <c r="L59" s="89"/>
      <c r="M59" s="24"/>
      <c r="N59" s="24"/>
      <c r="O59" s="24"/>
      <c r="P59" s="24"/>
      <c r="Q59" s="24"/>
      <c r="R59" s="24"/>
      <c r="S59" s="24"/>
      <c r="T59" s="24"/>
      <c r="U59" s="24"/>
      <c r="V59" s="24"/>
      <c r="W59" s="24"/>
      <c r="X59" s="24"/>
      <c r="Y59" s="24"/>
      <c r="Z59" s="24"/>
      <c r="AA59" s="24"/>
      <c r="AB59" s="24"/>
      <c r="AC59" s="24"/>
    </row>
    <row r="60" spans="1:29" s="17" customFormat="1" ht="31.2" customHeight="1" x14ac:dyDescent="0.2">
      <c r="A60" s="6" t="s">
        <v>169</v>
      </c>
      <c r="B60" s="146" t="s">
        <v>12</v>
      </c>
      <c r="C60" s="5" t="s">
        <v>170</v>
      </c>
      <c r="D60" s="1">
        <v>2023</v>
      </c>
      <c r="E60" s="3" t="s">
        <v>14</v>
      </c>
      <c r="F60" s="4" t="s">
        <v>171</v>
      </c>
      <c r="G60" s="65" t="str">
        <f>HYPERLINK("https://www.lyellcollection.org/toc/sp/517/1")</f>
        <v>https://www.lyellcollection.org/toc/sp/517/1</v>
      </c>
      <c r="H60" s="261" t="s">
        <v>70</v>
      </c>
      <c r="I60" s="47" t="s">
        <v>2913</v>
      </c>
      <c r="J60" s="1" t="s">
        <v>71</v>
      </c>
      <c r="K60" s="285">
        <v>140</v>
      </c>
      <c r="L60" s="89"/>
      <c r="M60" s="24"/>
      <c r="N60" s="24"/>
      <c r="O60" s="24"/>
      <c r="P60" s="24"/>
      <c r="Q60" s="24"/>
      <c r="R60" s="24"/>
      <c r="S60" s="24"/>
      <c r="T60" s="24"/>
      <c r="U60" s="24"/>
      <c r="V60" s="24"/>
      <c r="W60" s="24"/>
      <c r="X60" s="24"/>
      <c r="Y60" s="24"/>
      <c r="Z60" s="24"/>
      <c r="AA60" s="24"/>
      <c r="AB60" s="24"/>
      <c r="AC60" s="24"/>
    </row>
    <row r="61" spans="1:29" s="17" customFormat="1" ht="31.2" customHeight="1" x14ac:dyDescent="0.2">
      <c r="A61" s="6" t="s">
        <v>172</v>
      </c>
      <c r="B61" s="146" t="s">
        <v>12</v>
      </c>
      <c r="C61" s="5" t="s">
        <v>173</v>
      </c>
      <c r="D61" s="1">
        <v>2023</v>
      </c>
      <c r="E61" s="3" t="s">
        <v>14</v>
      </c>
      <c r="F61" s="4" t="s">
        <v>174</v>
      </c>
      <c r="G61" s="65" t="str">
        <f>HYPERLINK("https://www.lyellcollection.org/toc/sp/515/1")</f>
        <v>https://www.lyellcollection.org/toc/sp/515/1</v>
      </c>
      <c r="H61" s="261" t="s">
        <v>70</v>
      </c>
      <c r="I61" s="47" t="s">
        <v>2913</v>
      </c>
      <c r="J61" s="1" t="s">
        <v>71</v>
      </c>
      <c r="K61" s="285">
        <v>90</v>
      </c>
      <c r="L61" s="88"/>
      <c r="M61" s="24"/>
      <c r="N61" s="24"/>
      <c r="O61" s="24"/>
      <c r="P61" s="24"/>
      <c r="Q61" s="24"/>
      <c r="R61" s="24"/>
      <c r="S61" s="24"/>
      <c r="T61" s="24"/>
      <c r="U61" s="24"/>
      <c r="V61" s="24"/>
      <c r="W61" s="24"/>
      <c r="X61" s="24"/>
      <c r="Y61" s="24"/>
      <c r="Z61" s="24"/>
      <c r="AA61" s="24"/>
      <c r="AB61" s="24"/>
      <c r="AC61" s="24"/>
    </row>
    <row r="62" spans="1:29" ht="31.2" customHeight="1" x14ac:dyDescent="0.2">
      <c r="A62" s="258" t="s">
        <v>175</v>
      </c>
      <c r="B62" s="263" t="s">
        <v>39</v>
      </c>
      <c r="C62" s="261" t="s">
        <v>176</v>
      </c>
      <c r="D62" s="268">
        <v>2023</v>
      </c>
      <c r="E62" s="270" t="s">
        <v>14</v>
      </c>
      <c r="F62" s="272" t="s">
        <v>177</v>
      </c>
      <c r="G62" s="278" t="str">
        <f>HYPERLINK("https://www.lyellcollection.org/toc/mem/59/1")</f>
        <v>https://www.lyellcollection.org/toc/mem/59/1</v>
      </c>
      <c r="H62" s="282" t="s">
        <v>70</v>
      </c>
      <c r="I62" s="285" t="s">
        <v>2913</v>
      </c>
      <c r="J62" s="288" t="s">
        <v>71</v>
      </c>
      <c r="K62" s="285">
        <v>180</v>
      </c>
      <c r="L62" s="318"/>
    </row>
    <row r="63" spans="1:29" ht="31.2" customHeight="1" x14ac:dyDescent="0.2">
      <c r="A63" s="147" t="s">
        <v>178</v>
      </c>
      <c r="B63" s="148" t="s">
        <v>39</v>
      </c>
      <c r="C63" s="31" t="s">
        <v>179</v>
      </c>
      <c r="D63" s="16">
        <v>2023</v>
      </c>
      <c r="E63" s="3" t="s">
        <v>14</v>
      </c>
      <c r="F63" s="4" t="s">
        <v>180</v>
      </c>
      <c r="G63" s="65" t="str">
        <f>HYPERLINK("https://www.lyellcollection.org/toc/mem/56/1")</f>
        <v>https://www.lyellcollection.org/toc/mem/56/1</v>
      </c>
      <c r="H63" s="2" t="s">
        <v>70</v>
      </c>
      <c r="I63" s="47" t="s">
        <v>2913</v>
      </c>
      <c r="J63" s="83" t="s">
        <v>71</v>
      </c>
      <c r="K63" s="138">
        <v>130</v>
      </c>
      <c r="L63" s="53"/>
    </row>
    <row r="64" spans="1:29" s="41" customFormat="1" ht="31.2" customHeight="1" x14ac:dyDescent="0.2">
      <c r="A64" s="106" t="s">
        <v>188</v>
      </c>
      <c r="B64" s="107" t="s">
        <v>12</v>
      </c>
      <c r="C64" s="95" t="s">
        <v>189</v>
      </c>
      <c r="D64" s="23">
        <v>2022</v>
      </c>
      <c r="E64" s="84" t="s">
        <v>14</v>
      </c>
      <c r="F64" s="105" t="s">
        <v>190</v>
      </c>
      <c r="G64" s="85" t="str">
        <f>HYPERLINK("https://www.lyellcollection.org/toc/sp/521/1")</f>
        <v>https://www.lyellcollection.org/toc/sp/521/1</v>
      </c>
      <c r="H64" s="110" t="s">
        <v>70</v>
      </c>
      <c r="I64" s="27" t="s">
        <v>2912</v>
      </c>
      <c r="J64" s="23" t="s">
        <v>71</v>
      </c>
      <c r="K64" s="102">
        <v>90</v>
      </c>
      <c r="L64" s="295"/>
    </row>
    <row r="65" spans="1:12" s="41" customFormat="1" ht="31.2" customHeight="1" x14ac:dyDescent="0.2">
      <c r="A65" s="115" t="s">
        <v>191</v>
      </c>
      <c r="B65" s="107" t="s">
        <v>12</v>
      </c>
      <c r="C65" s="108" t="s">
        <v>192</v>
      </c>
      <c r="D65" s="86">
        <v>2022</v>
      </c>
      <c r="E65" s="84" t="s">
        <v>14</v>
      </c>
      <c r="F65" s="105" t="s">
        <v>193</v>
      </c>
      <c r="G65" s="85" t="str">
        <f>HYPERLINK("https://www.lyellcollection.org/toc/sp/518/1")</f>
        <v>https://www.lyellcollection.org/toc/sp/518/1</v>
      </c>
      <c r="H65" s="110" t="s">
        <v>70</v>
      </c>
      <c r="I65" s="27" t="s">
        <v>2912</v>
      </c>
      <c r="J65" s="23" t="s">
        <v>71</v>
      </c>
      <c r="K65" s="102">
        <v>170</v>
      </c>
      <c r="L65" s="87"/>
    </row>
    <row r="66" spans="1:12" s="41" customFormat="1" ht="31.2" customHeight="1" x14ac:dyDescent="0.2">
      <c r="A66" s="111" t="s">
        <v>194</v>
      </c>
      <c r="B66" s="107" t="s">
        <v>12</v>
      </c>
      <c r="C66" s="106" t="s">
        <v>195</v>
      </c>
      <c r="D66" s="23">
        <v>2022</v>
      </c>
      <c r="E66" s="84" t="s">
        <v>14</v>
      </c>
      <c r="F66" s="105" t="s">
        <v>196</v>
      </c>
      <c r="G66" s="85" t="str">
        <f>HYPERLINK("https://www.lyellcollection.org/toc/sp/516/1")</f>
        <v>https://www.lyellcollection.org/toc/sp/516/1</v>
      </c>
      <c r="H66" s="110" t="s">
        <v>70</v>
      </c>
      <c r="I66" s="27" t="s">
        <v>2912</v>
      </c>
      <c r="J66" s="23" t="s">
        <v>71</v>
      </c>
      <c r="K66" s="102">
        <v>110</v>
      </c>
      <c r="L66" s="87"/>
    </row>
    <row r="67" spans="1:12" s="41" customFormat="1" ht="31.2" customHeight="1" x14ac:dyDescent="0.2">
      <c r="A67" s="106" t="s">
        <v>197</v>
      </c>
      <c r="B67" s="107" t="s">
        <v>12</v>
      </c>
      <c r="C67" s="106" t="s">
        <v>198</v>
      </c>
      <c r="D67" s="86">
        <v>2022</v>
      </c>
      <c r="E67" s="84" t="s">
        <v>14</v>
      </c>
      <c r="F67" s="105" t="s">
        <v>199</v>
      </c>
      <c r="G67" s="109" t="str">
        <f>HYPERLINK("https://www.lyellcollection.org/toc/sp/513/1")</f>
        <v>https://www.lyellcollection.org/toc/sp/513/1</v>
      </c>
      <c r="H67" s="110" t="s">
        <v>70</v>
      </c>
      <c r="I67" s="27" t="s">
        <v>2912</v>
      </c>
      <c r="J67" s="23" t="s">
        <v>71</v>
      </c>
      <c r="K67" s="102">
        <v>150</v>
      </c>
      <c r="L67" s="87"/>
    </row>
    <row r="68" spans="1:12" s="41" customFormat="1" ht="31.2" customHeight="1" x14ac:dyDescent="0.2">
      <c r="A68" s="106" t="s">
        <v>200</v>
      </c>
      <c r="B68" s="107" t="s">
        <v>12</v>
      </c>
      <c r="C68" s="106" t="s">
        <v>201</v>
      </c>
      <c r="D68" s="23">
        <v>2022</v>
      </c>
      <c r="E68" s="84" t="s">
        <v>14</v>
      </c>
      <c r="F68" s="105" t="s">
        <v>202</v>
      </c>
      <c r="G68" s="85" t="str">
        <f>HYPERLINK("https://www.lyellcollection.org/toc/sp/512/1")</f>
        <v>https://www.lyellcollection.org/toc/sp/512/1</v>
      </c>
      <c r="H68" s="110" t="s">
        <v>70</v>
      </c>
      <c r="I68" s="27" t="s">
        <v>2912</v>
      </c>
      <c r="J68" s="114" t="s">
        <v>71</v>
      </c>
      <c r="K68" s="102">
        <v>230</v>
      </c>
      <c r="L68" s="87"/>
    </row>
    <row r="69" spans="1:12" s="41" customFormat="1" ht="31.2" customHeight="1" x14ac:dyDescent="0.2">
      <c r="A69" s="106" t="s">
        <v>203</v>
      </c>
      <c r="B69" s="107" t="s">
        <v>12</v>
      </c>
      <c r="C69" s="108" t="s">
        <v>204</v>
      </c>
      <c r="D69" s="86">
        <v>2022</v>
      </c>
      <c r="E69" s="84" t="s">
        <v>14</v>
      </c>
      <c r="F69" s="84" t="s">
        <v>205</v>
      </c>
      <c r="G69" s="85" t="str">
        <f>HYPERLINK("https://www.lyellcollection.org/toc/sp/505/1")</f>
        <v>https://www.lyellcollection.org/toc/sp/505/1</v>
      </c>
      <c r="H69" s="110" t="s">
        <v>70</v>
      </c>
      <c r="I69" s="27" t="s">
        <v>2912</v>
      </c>
      <c r="J69" s="23" t="s">
        <v>71</v>
      </c>
      <c r="K69" s="102">
        <v>150</v>
      </c>
      <c r="L69" s="87"/>
    </row>
    <row r="70" spans="1:12" s="41" customFormat="1" ht="31.2" customHeight="1" x14ac:dyDescent="0.2">
      <c r="A70" s="106" t="s">
        <v>206</v>
      </c>
      <c r="B70" s="107" t="s">
        <v>12</v>
      </c>
      <c r="C70" s="108" t="s">
        <v>207</v>
      </c>
      <c r="D70" s="23">
        <v>2022</v>
      </c>
      <c r="E70" s="84" t="s">
        <v>14</v>
      </c>
      <c r="F70" s="84" t="s">
        <v>208</v>
      </c>
      <c r="G70" s="85" t="str">
        <f>HYPERLINK("https://www.lyellcollection.org/toc/sp/495/1")</f>
        <v>https://www.lyellcollection.org/toc/sp/495/1</v>
      </c>
      <c r="H70" s="110" t="s">
        <v>70</v>
      </c>
      <c r="I70" s="27" t="s">
        <v>2912</v>
      </c>
      <c r="J70" s="23" t="s">
        <v>71</v>
      </c>
      <c r="K70" s="102">
        <v>120</v>
      </c>
      <c r="L70" s="86" t="s">
        <v>209</v>
      </c>
    </row>
    <row r="71" spans="1:12" s="41" customFormat="1" ht="31.2" customHeight="1" x14ac:dyDescent="0.2">
      <c r="A71" s="106" t="s">
        <v>210</v>
      </c>
      <c r="B71" s="107" t="s">
        <v>12</v>
      </c>
      <c r="C71" s="108" t="s">
        <v>211</v>
      </c>
      <c r="D71" s="86">
        <v>2022</v>
      </c>
      <c r="E71" s="84" t="s">
        <v>14</v>
      </c>
      <c r="F71" s="84" t="s">
        <v>212</v>
      </c>
      <c r="G71" s="85" t="str">
        <f>HYPERLINK("https://www.lyellcollection.org/toc/sp/494/1")</f>
        <v>https://www.lyellcollection.org/toc/sp/494/1</v>
      </c>
      <c r="H71" s="110" t="s">
        <v>70</v>
      </c>
      <c r="I71" s="27" t="s">
        <v>2912</v>
      </c>
      <c r="J71" s="23" t="s">
        <v>71</v>
      </c>
      <c r="K71" s="102">
        <v>180</v>
      </c>
      <c r="L71" s="86" t="s">
        <v>209</v>
      </c>
    </row>
    <row r="72" spans="1:12" s="41" customFormat="1" ht="31.2" customHeight="1" x14ac:dyDescent="0.2">
      <c r="A72" s="106" t="s">
        <v>213</v>
      </c>
      <c r="B72" s="107" t="s">
        <v>12</v>
      </c>
      <c r="C72" s="108" t="s">
        <v>214</v>
      </c>
      <c r="D72" s="23">
        <v>2022</v>
      </c>
      <c r="E72" s="84" t="s">
        <v>14</v>
      </c>
      <c r="F72" s="84" t="s">
        <v>215</v>
      </c>
      <c r="G72" s="109" t="str">
        <f>HYPERLINK("https://www.lyellcollection.org/toc/sp/485/1")</f>
        <v>https://www.lyellcollection.org/toc/sp/485/1</v>
      </c>
      <c r="H72" s="110" t="s">
        <v>70</v>
      </c>
      <c r="I72" s="27" t="s">
        <v>2912</v>
      </c>
      <c r="J72" s="23" t="s">
        <v>71</v>
      </c>
      <c r="K72" s="102">
        <v>160</v>
      </c>
      <c r="L72" s="86" t="s">
        <v>209</v>
      </c>
    </row>
    <row r="73" spans="1:12" s="41" customFormat="1" ht="31.2" customHeight="1" x14ac:dyDescent="0.2">
      <c r="A73" s="111" t="s">
        <v>216</v>
      </c>
      <c r="B73" s="113" t="s">
        <v>39</v>
      </c>
      <c r="C73" s="95" t="s">
        <v>217</v>
      </c>
      <c r="D73" s="23">
        <v>2022</v>
      </c>
      <c r="E73" s="84" t="s">
        <v>14</v>
      </c>
      <c r="F73" s="105" t="s">
        <v>218</v>
      </c>
      <c r="G73" s="85" t="str">
        <f>HYPERLINK("https://www.lyellcollection.org/toc/mem/58/1")</f>
        <v>https://www.lyellcollection.org/toc/mem/58/1</v>
      </c>
      <c r="H73" s="110" t="s">
        <v>70</v>
      </c>
      <c r="I73" s="27" t="s">
        <v>2912</v>
      </c>
      <c r="J73" s="23" t="s">
        <v>71</v>
      </c>
      <c r="K73" s="102">
        <v>130</v>
      </c>
      <c r="L73" s="53"/>
    </row>
    <row r="74" spans="1:12" s="41" customFormat="1" ht="31.2" customHeight="1" x14ac:dyDescent="0.2">
      <c r="A74" s="111" t="s">
        <v>181</v>
      </c>
      <c r="B74" s="107" t="s">
        <v>182</v>
      </c>
      <c r="C74" s="95" t="s">
        <v>183</v>
      </c>
      <c r="D74" s="105">
        <v>2022</v>
      </c>
      <c r="E74" s="105" t="s">
        <v>14</v>
      </c>
      <c r="F74" s="23" t="s">
        <v>184</v>
      </c>
      <c r="G74" s="177" t="s">
        <v>185</v>
      </c>
      <c r="H74" s="95" t="s">
        <v>186</v>
      </c>
      <c r="I74" s="27" t="s">
        <v>187</v>
      </c>
      <c r="J74" s="23" t="s">
        <v>71</v>
      </c>
      <c r="K74" s="102">
        <v>45</v>
      </c>
      <c r="L74" s="53"/>
    </row>
    <row r="75" spans="1:12" s="41" customFormat="1" ht="31.2" customHeight="1" x14ac:dyDescent="0.2">
      <c r="A75" s="115" t="s">
        <v>223</v>
      </c>
      <c r="B75" s="107" t="s">
        <v>12</v>
      </c>
      <c r="C75" s="108" t="s">
        <v>224</v>
      </c>
      <c r="D75" s="86">
        <v>2021</v>
      </c>
      <c r="E75" s="84" t="s">
        <v>14</v>
      </c>
      <c r="F75" s="105" t="s">
        <v>225</v>
      </c>
      <c r="G75" s="109" t="str">
        <f>HYPERLINK("https://www.lyellcollection.org/toc/sp/514/1")</f>
        <v>https://www.lyellcollection.org/toc/sp/514/1</v>
      </c>
      <c r="H75" s="110" t="s">
        <v>70</v>
      </c>
      <c r="I75" s="27" t="s">
        <v>2912</v>
      </c>
      <c r="J75" s="23" t="s">
        <v>71</v>
      </c>
      <c r="K75" s="102">
        <v>150</v>
      </c>
      <c r="L75" s="87"/>
    </row>
    <row r="76" spans="1:12" s="41" customFormat="1" ht="31.2" customHeight="1" x14ac:dyDescent="0.2">
      <c r="A76" s="106" t="s">
        <v>226</v>
      </c>
      <c r="B76" s="107" t="s">
        <v>12</v>
      </c>
      <c r="C76" s="108" t="s">
        <v>227</v>
      </c>
      <c r="D76" s="86">
        <v>2021</v>
      </c>
      <c r="E76" s="84" t="s">
        <v>14</v>
      </c>
      <c r="F76" s="105" t="s">
        <v>228</v>
      </c>
      <c r="G76" s="109" t="str">
        <f>HYPERLINK("https://www.lyellcollection.org/toc/sp/511/1")</f>
        <v>https://www.lyellcollection.org/toc/sp/511/1</v>
      </c>
      <c r="H76" s="110" t="s">
        <v>70</v>
      </c>
      <c r="I76" s="27" t="s">
        <v>2912</v>
      </c>
      <c r="J76" s="23" t="s">
        <v>71</v>
      </c>
      <c r="K76" s="102">
        <v>120</v>
      </c>
      <c r="L76" s="87"/>
    </row>
    <row r="77" spans="1:12" s="41" customFormat="1" ht="31.2" customHeight="1" x14ac:dyDescent="0.2">
      <c r="A77" s="106" t="s">
        <v>229</v>
      </c>
      <c r="B77" s="107" t="s">
        <v>12</v>
      </c>
      <c r="C77" s="108" t="s">
        <v>230</v>
      </c>
      <c r="D77" s="86">
        <v>2021</v>
      </c>
      <c r="E77" s="84" t="s">
        <v>14</v>
      </c>
      <c r="F77" s="105" t="s">
        <v>231</v>
      </c>
      <c r="G77" s="109" t="str">
        <f>HYPERLINK("https://www.lyellcollection.org/toc/sp/510/1")</f>
        <v>https://www.lyellcollection.org/toc/sp/510/1</v>
      </c>
      <c r="H77" s="110" t="s">
        <v>70</v>
      </c>
      <c r="I77" s="27" t="s">
        <v>2912</v>
      </c>
      <c r="J77" s="23" t="s">
        <v>71</v>
      </c>
      <c r="K77" s="102">
        <v>120</v>
      </c>
      <c r="L77" s="87"/>
    </row>
    <row r="78" spans="1:12" s="41" customFormat="1" ht="31.2" customHeight="1" x14ac:dyDescent="0.2">
      <c r="A78" s="106" t="s">
        <v>232</v>
      </c>
      <c r="B78" s="107" t="s">
        <v>12</v>
      </c>
      <c r="C78" s="106" t="s">
        <v>233</v>
      </c>
      <c r="D78" s="86">
        <v>2021</v>
      </c>
      <c r="E78" s="84" t="s">
        <v>14</v>
      </c>
      <c r="F78" s="105" t="s">
        <v>234</v>
      </c>
      <c r="G78" s="109" t="str">
        <f>HYPERLINK("https://www.lyellcollection.org/toc/sp/509/1")</f>
        <v>https://www.lyellcollection.org/toc/sp/509/1</v>
      </c>
      <c r="H78" s="110" t="s">
        <v>70</v>
      </c>
      <c r="I78" s="27" t="s">
        <v>2912</v>
      </c>
      <c r="J78" s="23" t="s">
        <v>71</v>
      </c>
      <c r="K78" s="102">
        <v>95</v>
      </c>
      <c r="L78" s="87"/>
    </row>
    <row r="79" spans="1:12" s="41" customFormat="1" ht="31.2" customHeight="1" x14ac:dyDescent="0.2">
      <c r="A79" s="106" t="s">
        <v>235</v>
      </c>
      <c r="B79" s="107" t="s">
        <v>12</v>
      </c>
      <c r="C79" s="106" t="s">
        <v>236</v>
      </c>
      <c r="D79" s="23">
        <v>2021</v>
      </c>
      <c r="E79" s="84" t="s">
        <v>14</v>
      </c>
      <c r="F79" s="105" t="s">
        <v>237</v>
      </c>
      <c r="G79" s="109" t="str">
        <f>HYPERLINK("https://www.lyellcollection.org/toc/sp/508/1")</f>
        <v>https://www.lyellcollection.org/toc/sp/508/1</v>
      </c>
      <c r="H79" s="110" t="s">
        <v>70</v>
      </c>
      <c r="I79" s="27" t="s">
        <v>2912</v>
      </c>
      <c r="J79" s="23" t="s">
        <v>71</v>
      </c>
      <c r="K79" s="102">
        <v>120</v>
      </c>
      <c r="L79" s="87"/>
    </row>
    <row r="80" spans="1:12" s="41" customFormat="1" ht="31.2" customHeight="1" x14ac:dyDescent="0.2">
      <c r="A80" s="106" t="s">
        <v>238</v>
      </c>
      <c r="B80" s="107" t="s">
        <v>12</v>
      </c>
      <c r="C80" s="108" t="s">
        <v>239</v>
      </c>
      <c r="D80" s="86">
        <v>2021</v>
      </c>
      <c r="E80" s="84" t="s">
        <v>14</v>
      </c>
      <c r="F80" s="84" t="s">
        <v>240</v>
      </c>
      <c r="G80" s="109" t="str">
        <f>HYPERLINK("https://www.lyellcollection.org/toc/sp/507/1")</f>
        <v>https://www.lyellcollection.org/toc/sp/507/1</v>
      </c>
      <c r="H80" s="110" t="s">
        <v>70</v>
      </c>
      <c r="I80" s="27" t="s">
        <v>2912</v>
      </c>
      <c r="J80" s="23" t="s">
        <v>71</v>
      </c>
      <c r="K80" s="102">
        <v>100</v>
      </c>
      <c r="L80" s="87"/>
    </row>
    <row r="81" spans="1:29" s="41" customFormat="1" ht="31.2" customHeight="1" x14ac:dyDescent="0.2">
      <c r="A81" s="106" t="s">
        <v>241</v>
      </c>
      <c r="B81" s="107" t="s">
        <v>12</v>
      </c>
      <c r="C81" s="108" t="s">
        <v>242</v>
      </c>
      <c r="D81" s="86">
        <v>2021</v>
      </c>
      <c r="E81" s="84" t="s">
        <v>14</v>
      </c>
      <c r="F81" s="84" t="s">
        <v>243</v>
      </c>
      <c r="G81" s="109" t="str">
        <f>HYPERLINK("https://www.lyellcollection.org/toc/sp/506/1")</f>
        <v>https://www.lyellcollection.org/toc/sp/506/1</v>
      </c>
      <c r="H81" s="110" t="s">
        <v>70</v>
      </c>
      <c r="I81" s="27" t="s">
        <v>2912</v>
      </c>
      <c r="J81" s="23" t="s">
        <v>71</v>
      </c>
      <c r="K81" s="102">
        <v>95</v>
      </c>
      <c r="L81" s="87"/>
    </row>
    <row r="82" spans="1:29" s="41" customFormat="1" ht="31.2" customHeight="1" x14ac:dyDescent="0.2">
      <c r="A82" s="106" t="s">
        <v>244</v>
      </c>
      <c r="B82" s="107" t="s">
        <v>12</v>
      </c>
      <c r="C82" s="108" t="s">
        <v>245</v>
      </c>
      <c r="D82" s="86">
        <v>2021</v>
      </c>
      <c r="E82" s="84" t="s">
        <v>14</v>
      </c>
      <c r="F82" s="84" t="s">
        <v>246</v>
      </c>
      <c r="G82" s="109" t="str">
        <f>HYPERLINK("https://www.lyellcollection.org/toc/sp/504/1")</f>
        <v>https://www.lyellcollection.org/toc/sp/504/1</v>
      </c>
      <c r="H82" s="110" t="s">
        <v>70</v>
      </c>
      <c r="I82" s="27" t="s">
        <v>2912</v>
      </c>
      <c r="J82" s="23" t="s">
        <v>71</v>
      </c>
      <c r="K82" s="102">
        <v>180</v>
      </c>
      <c r="L82" s="87"/>
    </row>
    <row r="83" spans="1:29" s="41" customFormat="1" ht="31.2" customHeight="1" x14ac:dyDescent="0.2">
      <c r="A83" s="106" t="s">
        <v>247</v>
      </c>
      <c r="B83" s="107" t="s">
        <v>12</v>
      </c>
      <c r="C83" s="106" t="s">
        <v>248</v>
      </c>
      <c r="D83" s="86">
        <v>2021</v>
      </c>
      <c r="E83" s="84" t="s">
        <v>14</v>
      </c>
      <c r="F83" s="84" t="s">
        <v>249</v>
      </c>
      <c r="G83" s="109" t="str">
        <f>HYPERLINK("https://www.lyellcollection.org/toc/sp/503/1")</f>
        <v>https://www.lyellcollection.org/toc/sp/503/1</v>
      </c>
      <c r="H83" s="110" t="s">
        <v>70</v>
      </c>
      <c r="I83" s="27" t="s">
        <v>2912</v>
      </c>
      <c r="J83" s="23" t="s">
        <v>71</v>
      </c>
      <c r="K83" s="102">
        <v>150</v>
      </c>
      <c r="L83" s="87"/>
    </row>
    <row r="84" spans="1:29" s="41" customFormat="1" ht="31.2" customHeight="1" x14ac:dyDescent="0.2">
      <c r="A84" s="115" t="s">
        <v>250</v>
      </c>
      <c r="B84" s="107" t="s">
        <v>12</v>
      </c>
      <c r="C84" s="108" t="s">
        <v>251</v>
      </c>
      <c r="D84" s="86">
        <v>2021</v>
      </c>
      <c r="E84" s="84" t="s">
        <v>14</v>
      </c>
      <c r="F84" s="84" t="s">
        <v>252</v>
      </c>
      <c r="G84" s="109" t="str">
        <f>HYPERLINK("https://www.lyellcollection.org/toc/sp/502/1")</f>
        <v>https://www.lyellcollection.org/toc/sp/502/1</v>
      </c>
      <c r="H84" s="110" t="s">
        <v>70</v>
      </c>
      <c r="I84" s="27" t="s">
        <v>2912</v>
      </c>
      <c r="J84" s="23" t="s">
        <v>71</v>
      </c>
      <c r="K84" s="102">
        <v>135</v>
      </c>
      <c r="L84" s="87"/>
    </row>
    <row r="85" spans="1:29" s="41" customFormat="1" ht="31.2" customHeight="1" x14ac:dyDescent="0.2">
      <c r="A85" s="115" t="s">
        <v>253</v>
      </c>
      <c r="B85" s="107" t="s">
        <v>12</v>
      </c>
      <c r="C85" s="108" t="s">
        <v>254</v>
      </c>
      <c r="D85" s="86">
        <v>2021</v>
      </c>
      <c r="E85" s="84" t="s">
        <v>14</v>
      </c>
      <c r="F85" s="84" t="s">
        <v>255</v>
      </c>
      <c r="G85" s="109" t="str">
        <f>HYPERLINK("https://www.lyellcollection.org/toc/sp/501/1")</f>
        <v>https://www.lyellcollection.org/toc/sp/501/1</v>
      </c>
      <c r="H85" s="110" t="s">
        <v>70</v>
      </c>
      <c r="I85" s="27" t="s">
        <v>2912</v>
      </c>
      <c r="J85" s="23" t="s">
        <v>71</v>
      </c>
      <c r="K85" s="102">
        <v>170</v>
      </c>
      <c r="L85" s="87"/>
    </row>
    <row r="86" spans="1:29" s="41" customFormat="1" ht="31.2" customHeight="1" x14ac:dyDescent="0.2">
      <c r="A86" s="106" t="s">
        <v>256</v>
      </c>
      <c r="B86" s="107" t="s">
        <v>12</v>
      </c>
      <c r="C86" s="108" t="s">
        <v>257</v>
      </c>
      <c r="D86" s="86">
        <v>2021</v>
      </c>
      <c r="E86" s="84" t="s">
        <v>14</v>
      </c>
      <c r="F86" s="84" t="s">
        <v>258</v>
      </c>
      <c r="G86" s="109" t="str">
        <f>HYPERLINK("https://www.lyellcollection.org/toc/sp/493/1")</f>
        <v>https://www.lyellcollection.org/toc/sp/493/1</v>
      </c>
      <c r="H86" s="110" t="s">
        <v>70</v>
      </c>
      <c r="I86" s="27" t="s">
        <v>2912</v>
      </c>
      <c r="J86" s="23" t="s">
        <v>71</v>
      </c>
      <c r="K86" s="102">
        <v>110</v>
      </c>
      <c r="L86" s="86" t="s">
        <v>209</v>
      </c>
      <c r="AB86" s="117"/>
      <c r="AC86" s="117"/>
    </row>
    <row r="87" spans="1:29" s="41" customFormat="1" ht="31.2" customHeight="1" x14ac:dyDescent="0.2">
      <c r="A87" s="106" t="s">
        <v>259</v>
      </c>
      <c r="B87" s="107" t="s">
        <v>12</v>
      </c>
      <c r="C87" s="106" t="s">
        <v>260</v>
      </c>
      <c r="D87" s="86">
        <v>2021</v>
      </c>
      <c r="E87" s="84" t="s">
        <v>14</v>
      </c>
      <c r="F87" s="84" t="s">
        <v>261</v>
      </c>
      <c r="G87" s="109" t="str">
        <f>HYPERLINK("https://www.lyellcollection.org/toc/sp/492/1")</f>
        <v>https://www.lyellcollection.org/toc/sp/492/1</v>
      </c>
      <c r="H87" s="110" t="s">
        <v>70</v>
      </c>
      <c r="I87" s="27" t="s">
        <v>2912</v>
      </c>
      <c r="J87" s="23" t="s">
        <v>71</v>
      </c>
      <c r="K87" s="102">
        <v>110</v>
      </c>
      <c r="L87" s="86" t="s">
        <v>209</v>
      </c>
    </row>
    <row r="88" spans="1:29" s="41" customFormat="1" ht="31.2" customHeight="1" x14ac:dyDescent="0.2">
      <c r="A88" s="111" t="s">
        <v>219</v>
      </c>
      <c r="B88" s="116" t="s">
        <v>220</v>
      </c>
      <c r="C88" s="116" t="s">
        <v>221</v>
      </c>
      <c r="D88" s="23">
        <v>2021</v>
      </c>
      <c r="E88" s="84" t="s">
        <v>14</v>
      </c>
      <c r="F88" s="84" t="s">
        <v>222</v>
      </c>
      <c r="G88" s="177" t="s">
        <v>185</v>
      </c>
      <c r="H88" s="95" t="s">
        <v>186</v>
      </c>
      <c r="I88" s="27" t="s">
        <v>187</v>
      </c>
      <c r="J88" s="23" t="s">
        <v>71</v>
      </c>
      <c r="K88" s="102">
        <v>80</v>
      </c>
      <c r="L88" s="53"/>
    </row>
    <row r="89" spans="1:29" s="41" customFormat="1" ht="31.2" customHeight="1" x14ac:dyDescent="0.2">
      <c r="A89" s="111" t="s">
        <v>262</v>
      </c>
      <c r="B89" s="113" t="s">
        <v>39</v>
      </c>
      <c r="C89" s="106" t="s">
        <v>263</v>
      </c>
      <c r="D89" s="23">
        <v>2021</v>
      </c>
      <c r="E89" s="84" t="s">
        <v>14</v>
      </c>
      <c r="F89" s="84" t="s">
        <v>264</v>
      </c>
      <c r="G89" s="109" t="str">
        <f>HYPERLINK("https://www.lyellcollection.org/toc/mem/55/1")</f>
        <v>https://www.lyellcollection.org/toc/mem/55/1</v>
      </c>
      <c r="H89" s="110" t="s">
        <v>70</v>
      </c>
      <c r="I89" s="27" t="s">
        <v>2912</v>
      </c>
      <c r="J89" s="23" t="s">
        <v>71</v>
      </c>
      <c r="K89" s="102">
        <v>210</v>
      </c>
      <c r="L89" s="53"/>
    </row>
    <row r="90" spans="1:29" s="41" customFormat="1" ht="31.2" customHeight="1" x14ac:dyDescent="0.2">
      <c r="A90" s="111" t="s">
        <v>265</v>
      </c>
      <c r="B90" s="113" t="s">
        <v>39</v>
      </c>
      <c r="C90" s="108" t="s">
        <v>266</v>
      </c>
      <c r="D90" s="23">
        <v>2021</v>
      </c>
      <c r="E90" s="84" t="s">
        <v>14</v>
      </c>
      <c r="F90" s="105" t="s">
        <v>267</v>
      </c>
      <c r="G90" s="109" t="str">
        <f>HYPERLINK("https://www.lyellcollection.org/toc/mem/54/1")</f>
        <v>https://www.lyellcollection.org/toc/mem/54/1</v>
      </c>
      <c r="H90" s="110" t="s">
        <v>70</v>
      </c>
      <c r="I90" s="27" t="s">
        <v>2912</v>
      </c>
      <c r="J90" s="23" t="s">
        <v>71</v>
      </c>
      <c r="K90" s="102">
        <v>75</v>
      </c>
      <c r="L90" s="53"/>
    </row>
    <row r="91" spans="1:29" s="41" customFormat="1" ht="31.2" customHeight="1" x14ac:dyDescent="0.2">
      <c r="A91" s="106" t="s">
        <v>268</v>
      </c>
      <c r="B91" s="107" t="s">
        <v>43</v>
      </c>
      <c r="C91" s="118" t="s">
        <v>269</v>
      </c>
      <c r="D91" s="23">
        <v>2020</v>
      </c>
      <c r="E91" s="84" t="s">
        <v>14</v>
      </c>
      <c r="F91" s="105" t="s">
        <v>270</v>
      </c>
      <c r="G91" s="109" t="str">
        <f>HYPERLINK("https://www.lyellcollection.org/toc/egsp/29/1")</f>
        <v>https://www.lyellcollection.org/toc/egsp/29/1</v>
      </c>
      <c r="H91" s="110" t="s">
        <v>70</v>
      </c>
      <c r="I91" s="27" t="s">
        <v>2912</v>
      </c>
      <c r="J91" s="23" t="s">
        <v>71</v>
      </c>
      <c r="K91" s="102">
        <v>140</v>
      </c>
      <c r="L91" s="53"/>
    </row>
    <row r="92" spans="1:29" s="41" customFormat="1" ht="31.2" customHeight="1" x14ac:dyDescent="0.2">
      <c r="A92" s="115" t="s">
        <v>271</v>
      </c>
      <c r="B92" s="107" t="s">
        <v>12</v>
      </c>
      <c r="C92" s="108" t="s">
        <v>272</v>
      </c>
      <c r="D92" s="86">
        <v>2020</v>
      </c>
      <c r="E92" s="84" t="s">
        <v>14</v>
      </c>
      <c r="F92" s="105" t="s">
        <v>273</v>
      </c>
      <c r="G92" s="109" t="str">
        <f>HYPERLINK("https://www.lyellcollection.org/toc/sp/500/1")</f>
        <v>https://www.lyellcollection.org/toc/sp/500/1</v>
      </c>
      <c r="H92" s="110" t="s">
        <v>70</v>
      </c>
      <c r="I92" s="27" t="s">
        <v>2912</v>
      </c>
      <c r="J92" s="23" t="s">
        <v>71</v>
      </c>
      <c r="K92" s="102">
        <v>130</v>
      </c>
      <c r="L92" s="86" t="s">
        <v>209</v>
      </c>
    </row>
    <row r="93" spans="1:29" s="41" customFormat="1" ht="31.2" customHeight="1" x14ac:dyDescent="0.2">
      <c r="A93" s="106" t="s">
        <v>274</v>
      </c>
      <c r="B93" s="107" t="s">
        <v>12</v>
      </c>
      <c r="C93" s="106" t="s">
        <v>275</v>
      </c>
      <c r="D93" s="86">
        <v>2020</v>
      </c>
      <c r="E93" s="84" t="s">
        <v>14</v>
      </c>
      <c r="F93" s="105" t="s">
        <v>276</v>
      </c>
      <c r="G93" s="109" t="str">
        <f>HYPERLINK("https://www.lyellcollection.org/toc/sp/499/1")</f>
        <v>https://www.lyellcollection.org/toc/sp/499/1</v>
      </c>
      <c r="H93" s="110" t="s">
        <v>70</v>
      </c>
      <c r="I93" s="27" t="s">
        <v>2912</v>
      </c>
      <c r="J93" s="23" t="s">
        <v>71</v>
      </c>
      <c r="K93" s="102">
        <v>100</v>
      </c>
      <c r="L93" s="86" t="s">
        <v>209</v>
      </c>
    </row>
    <row r="94" spans="1:29" s="41" customFormat="1" ht="31.2" customHeight="1" x14ac:dyDescent="0.2">
      <c r="A94" s="106" t="s">
        <v>277</v>
      </c>
      <c r="B94" s="107" t="s">
        <v>12</v>
      </c>
      <c r="C94" s="106" t="s">
        <v>278</v>
      </c>
      <c r="D94" s="86">
        <v>2020</v>
      </c>
      <c r="E94" s="84" t="s">
        <v>14</v>
      </c>
      <c r="F94" s="105" t="s">
        <v>279</v>
      </c>
      <c r="G94" s="109" t="str">
        <f>HYPERLINK("https://www.lyellcollection.org/toc/sp/498/1")</f>
        <v>https://www.lyellcollection.org/toc/sp/498/1</v>
      </c>
      <c r="H94" s="110" t="s">
        <v>70</v>
      </c>
      <c r="I94" s="27" t="s">
        <v>2912</v>
      </c>
      <c r="J94" s="23" t="s">
        <v>71</v>
      </c>
      <c r="K94" s="102">
        <v>120</v>
      </c>
      <c r="L94" s="86" t="s">
        <v>209</v>
      </c>
    </row>
    <row r="95" spans="1:29" s="41" customFormat="1" ht="31.2" customHeight="1" x14ac:dyDescent="0.2">
      <c r="A95" s="106" t="s">
        <v>280</v>
      </c>
      <c r="B95" s="107" t="s">
        <v>12</v>
      </c>
      <c r="C95" s="106" t="s">
        <v>281</v>
      </c>
      <c r="D95" s="86">
        <v>2020</v>
      </c>
      <c r="E95" s="84" t="s">
        <v>14</v>
      </c>
      <c r="F95" s="105" t="s">
        <v>282</v>
      </c>
      <c r="G95" s="109" t="str">
        <f>HYPERLINK("https://www.lyellcollection.org/toc/sp/497/1")</f>
        <v>https://www.lyellcollection.org/toc/sp/497/1</v>
      </c>
      <c r="H95" s="110" t="s">
        <v>70</v>
      </c>
      <c r="I95" s="27" t="s">
        <v>2912</v>
      </c>
      <c r="J95" s="23" t="s">
        <v>71</v>
      </c>
      <c r="K95" s="102">
        <v>100</v>
      </c>
      <c r="L95" s="86" t="s">
        <v>209</v>
      </c>
    </row>
    <row r="96" spans="1:29" s="41" customFormat="1" ht="31.2" customHeight="1" x14ac:dyDescent="0.2">
      <c r="A96" s="106" t="s">
        <v>283</v>
      </c>
      <c r="B96" s="107" t="s">
        <v>12</v>
      </c>
      <c r="C96" s="108" t="s">
        <v>284</v>
      </c>
      <c r="D96" s="86">
        <v>2020</v>
      </c>
      <c r="E96" s="84" t="s">
        <v>14</v>
      </c>
      <c r="F96" s="105" t="s">
        <v>285</v>
      </c>
      <c r="G96" s="109" t="str">
        <f>HYPERLINK("https://www.lyellcollection.org/toc/sp/496/1")</f>
        <v>https://www.lyellcollection.org/toc/sp/496/1</v>
      </c>
      <c r="H96" s="110" t="s">
        <v>70</v>
      </c>
      <c r="I96" s="27" t="s">
        <v>2912</v>
      </c>
      <c r="J96" s="23" t="s">
        <v>71</v>
      </c>
      <c r="K96" s="102">
        <v>120</v>
      </c>
      <c r="L96" s="86" t="s">
        <v>209</v>
      </c>
    </row>
    <row r="97" spans="1:12" s="41" customFormat="1" ht="31.2" customHeight="1" x14ac:dyDescent="0.2">
      <c r="A97" s="106" t="s">
        <v>286</v>
      </c>
      <c r="B97" s="107" t="s">
        <v>12</v>
      </c>
      <c r="C97" s="108" t="s">
        <v>287</v>
      </c>
      <c r="D97" s="86">
        <v>2020</v>
      </c>
      <c r="E97" s="84" t="s">
        <v>14</v>
      </c>
      <c r="F97" s="105" t="s">
        <v>288</v>
      </c>
      <c r="G97" s="109" t="str">
        <f>HYPERLINK("https://www.lyellcollection.org/toc/sp/491/1")</f>
        <v>https://www.lyellcollection.org/toc/sp/491/1</v>
      </c>
      <c r="H97" s="110" t="s">
        <v>70</v>
      </c>
      <c r="I97" s="27" t="s">
        <v>2912</v>
      </c>
      <c r="J97" s="23" t="s">
        <v>71</v>
      </c>
      <c r="K97" s="102">
        <v>100</v>
      </c>
      <c r="L97" s="86" t="s">
        <v>209</v>
      </c>
    </row>
    <row r="98" spans="1:12" s="41" customFormat="1" ht="31.2" customHeight="1" x14ac:dyDescent="0.2">
      <c r="A98" s="106" t="s">
        <v>289</v>
      </c>
      <c r="B98" s="107" t="s">
        <v>12</v>
      </c>
      <c r="C98" s="108" t="s">
        <v>290</v>
      </c>
      <c r="D98" s="86">
        <v>2020</v>
      </c>
      <c r="E98" s="84" t="s">
        <v>14</v>
      </c>
      <c r="F98" s="105" t="s">
        <v>291</v>
      </c>
      <c r="G98" s="109" t="str">
        <f>HYPERLINK("https://www.lyellcollection.org/toc/sp/490/1")</f>
        <v>https://www.lyellcollection.org/toc/sp/490/1</v>
      </c>
      <c r="H98" s="110" t="s">
        <v>70</v>
      </c>
      <c r="I98" s="27" t="s">
        <v>2912</v>
      </c>
      <c r="J98" s="23" t="s">
        <v>71</v>
      </c>
      <c r="K98" s="102">
        <v>120</v>
      </c>
      <c r="L98" s="86" t="s">
        <v>209</v>
      </c>
    </row>
    <row r="99" spans="1:12" s="41" customFormat="1" ht="31.2" customHeight="1" x14ac:dyDescent="0.2">
      <c r="A99" s="106" t="s">
        <v>292</v>
      </c>
      <c r="B99" s="107" t="s">
        <v>12</v>
      </c>
      <c r="C99" s="108" t="s">
        <v>293</v>
      </c>
      <c r="D99" s="86">
        <v>2020</v>
      </c>
      <c r="E99" s="84" t="s">
        <v>14</v>
      </c>
      <c r="F99" s="105" t="s">
        <v>294</v>
      </c>
      <c r="G99" s="109" t="str">
        <f>HYPERLINK("https://www.lyellcollection.org/toc/sp/489/1")</f>
        <v>https://www.lyellcollection.org/toc/sp/489/1</v>
      </c>
      <c r="H99" s="110" t="s">
        <v>70</v>
      </c>
      <c r="I99" s="27" t="s">
        <v>2912</v>
      </c>
      <c r="J99" s="23" t="s">
        <v>71</v>
      </c>
      <c r="K99" s="102">
        <v>90</v>
      </c>
      <c r="L99" s="86" t="s">
        <v>209</v>
      </c>
    </row>
    <row r="100" spans="1:12" s="41" customFormat="1" ht="31.2" customHeight="1" x14ac:dyDescent="0.2">
      <c r="A100" s="106" t="s">
        <v>295</v>
      </c>
      <c r="B100" s="107" t="s">
        <v>12</v>
      </c>
      <c r="C100" s="106" t="s">
        <v>296</v>
      </c>
      <c r="D100" s="86">
        <v>2020</v>
      </c>
      <c r="E100" s="84" t="s">
        <v>14</v>
      </c>
      <c r="F100" s="105" t="s">
        <v>297</v>
      </c>
      <c r="G100" s="109" t="str">
        <f>HYPERLINK("https://www.lyellcollection.org/toc/sp/487/1")</f>
        <v>https://www.lyellcollection.org/toc/sp/487/1</v>
      </c>
      <c r="H100" s="110" t="s">
        <v>70</v>
      </c>
      <c r="I100" s="27" t="s">
        <v>2912</v>
      </c>
      <c r="J100" s="23" t="s">
        <v>71</v>
      </c>
      <c r="K100" s="102">
        <v>100</v>
      </c>
      <c r="L100" s="86" t="s">
        <v>209</v>
      </c>
    </row>
    <row r="101" spans="1:12" s="41" customFormat="1" ht="31.2" customHeight="1" x14ac:dyDescent="0.2">
      <c r="A101" s="106" t="s">
        <v>298</v>
      </c>
      <c r="B101" s="107" t="s">
        <v>12</v>
      </c>
      <c r="C101" s="108" t="s">
        <v>299</v>
      </c>
      <c r="D101" s="86">
        <v>2020</v>
      </c>
      <c r="E101" s="84" t="s">
        <v>14</v>
      </c>
      <c r="F101" s="105" t="s">
        <v>300</v>
      </c>
      <c r="G101" s="109" t="str">
        <f>HYPERLINK("https://www.lyellcollection.org/toc/sp/486/1")</f>
        <v>https://www.lyellcollection.org/toc/sp/486/1</v>
      </c>
      <c r="H101" s="110" t="s">
        <v>70</v>
      </c>
      <c r="I101" s="27" t="s">
        <v>2912</v>
      </c>
      <c r="J101" s="23" t="s">
        <v>71</v>
      </c>
      <c r="K101" s="102">
        <v>120</v>
      </c>
      <c r="L101" s="86" t="s">
        <v>209</v>
      </c>
    </row>
    <row r="102" spans="1:12" s="41" customFormat="1" ht="31.2" customHeight="1" x14ac:dyDescent="0.2">
      <c r="A102" s="106" t="s">
        <v>301</v>
      </c>
      <c r="B102" s="107" t="s">
        <v>12</v>
      </c>
      <c r="C102" s="108" t="s">
        <v>302</v>
      </c>
      <c r="D102" s="86">
        <v>2020</v>
      </c>
      <c r="E102" s="84" t="s">
        <v>14</v>
      </c>
      <c r="F102" s="105" t="s">
        <v>303</v>
      </c>
      <c r="G102" s="109" t="str">
        <f>HYPERLINK("https://www.lyellcollection.org/toc/sp/484/1")</f>
        <v>https://www.lyellcollection.org/toc/sp/484/1</v>
      </c>
      <c r="H102" s="110" t="s">
        <v>70</v>
      </c>
      <c r="I102" s="27" t="s">
        <v>2912</v>
      </c>
      <c r="J102" s="23" t="s">
        <v>71</v>
      </c>
      <c r="K102" s="102">
        <v>100</v>
      </c>
      <c r="L102" s="86" t="s">
        <v>209</v>
      </c>
    </row>
    <row r="103" spans="1:12" s="41" customFormat="1" ht="31.2" customHeight="1" x14ac:dyDescent="0.2">
      <c r="A103" s="106" t="s">
        <v>304</v>
      </c>
      <c r="B103" s="107" t="s">
        <v>12</v>
      </c>
      <c r="C103" s="108" t="s">
        <v>305</v>
      </c>
      <c r="D103" s="86">
        <v>2020</v>
      </c>
      <c r="E103" s="84" t="s">
        <v>14</v>
      </c>
      <c r="F103" s="105" t="s">
        <v>306</v>
      </c>
      <c r="G103" s="109" t="str">
        <f>HYPERLINK("https://www.lyellcollection.org/toc/sp/476/1")</f>
        <v>https://www.lyellcollection.org/toc/sp/476/1</v>
      </c>
      <c r="H103" s="110" t="s">
        <v>70</v>
      </c>
      <c r="I103" s="27" t="s">
        <v>2912</v>
      </c>
      <c r="J103" s="23" t="s">
        <v>71</v>
      </c>
      <c r="K103" s="102">
        <v>160</v>
      </c>
      <c r="L103" s="86" t="s">
        <v>209</v>
      </c>
    </row>
    <row r="104" spans="1:12" s="41" customFormat="1" ht="31.2" customHeight="1" x14ac:dyDescent="0.2">
      <c r="A104" s="111" t="s">
        <v>307</v>
      </c>
      <c r="B104" s="113" t="s">
        <v>39</v>
      </c>
      <c r="C104" s="106" t="s">
        <v>308</v>
      </c>
      <c r="D104" s="23">
        <v>2020</v>
      </c>
      <c r="E104" s="84" t="s">
        <v>14</v>
      </c>
      <c r="F104" s="84" t="s">
        <v>309</v>
      </c>
      <c r="G104" s="85" t="str">
        <f>HYPERLINK("https://www.lyellcollection.org/toc/mem/53/1")</f>
        <v>https://www.lyellcollection.org/toc/mem/53/1</v>
      </c>
      <c r="H104" s="110" t="s">
        <v>70</v>
      </c>
      <c r="I104" s="27" t="s">
        <v>2912</v>
      </c>
      <c r="J104" s="23" t="s">
        <v>71</v>
      </c>
      <c r="K104" s="102">
        <v>80</v>
      </c>
      <c r="L104" s="53"/>
    </row>
    <row r="105" spans="1:12" s="41" customFormat="1" ht="31.2" customHeight="1" x14ac:dyDescent="0.2">
      <c r="A105" s="111" t="s">
        <v>310</v>
      </c>
      <c r="B105" s="113" t="s">
        <v>39</v>
      </c>
      <c r="C105" s="106" t="s">
        <v>311</v>
      </c>
      <c r="D105" s="23">
        <v>2020</v>
      </c>
      <c r="E105" s="84" t="s">
        <v>14</v>
      </c>
      <c r="F105" s="84" t="s">
        <v>312</v>
      </c>
      <c r="G105" s="109" t="str">
        <f>HYPERLINK("https://www.lyellcollection.org/toc/mem/52/1")</f>
        <v>https://www.lyellcollection.org/toc/mem/52/1</v>
      </c>
      <c r="H105" s="110" t="s">
        <v>70</v>
      </c>
      <c r="I105" s="27" t="s">
        <v>2912</v>
      </c>
      <c r="J105" s="23" t="s">
        <v>71</v>
      </c>
      <c r="K105" s="102">
        <v>200</v>
      </c>
      <c r="L105" s="53"/>
    </row>
    <row r="106" spans="1:12" s="41" customFormat="1" ht="31.2" customHeight="1" x14ac:dyDescent="0.2">
      <c r="A106" s="111" t="s">
        <v>313</v>
      </c>
      <c r="B106" s="113" t="s">
        <v>39</v>
      </c>
      <c r="C106" s="106" t="s">
        <v>314</v>
      </c>
      <c r="D106" s="23">
        <v>2020</v>
      </c>
      <c r="E106" s="84" t="s">
        <v>14</v>
      </c>
      <c r="F106" s="84" t="s">
        <v>315</v>
      </c>
      <c r="G106" s="109" t="str">
        <f>HYPERLINK("https://www.lyellcollection.org/toc/mem/51/1")</f>
        <v>https://www.lyellcollection.org/toc/mem/51/1</v>
      </c>
      <c r="H106" s="110" t="s">
        <v>70</v>
      </c>
      <c r="I106" s="27" t="s">
        <v>2912</v>
      </c>
      <c r="J106" s="23" t="s">
        <v>71</v>
      </c>
      <c r="K106" s="102">
        <v>120</v>
      </c>
      <c r="L106" s="53"/>
    </row>
    <row r="107" spans="1:12" s="41" customFormat="1" ht="31.2" customHeight="1" x14ac:dyDescent="0.2">
      <c r="A107" s="111" t="s">
        <v>316</v>
      </c>
      <c r="B107" s="113" t="s">
        <v>39</v>
      </c>
      <c r="C107" s="106" t="s">
        <v>317</v>
      </c>
      <c r="D107" s="23">
        <v>2020</v>
      </c>
      <c r="E107" s="84" t="s">
        <v>14</v>
      </c>
      <c r="F107" s="84" t="s">
        <v>318</v>
      </c>
      <c r="G107" s="109" t="str">
        <f>HYPERLINK("https://www.lyellcollection.org/toc/mem/50/1")</f>
        <v>https://www.lyellcollection.org/toc/mem/50/1</v>
      </c>
      <c r="H107" s="110" t="s">
        <v>70</v>
      </c>
      <c r="I107" s="27" t="s">
        <v>2912</v>
      </c>
      <c r="J107" s="23" t="s">
        <v>71</v>
      </c>
      <c r="K107" s="102">
        <v>140</v>
      </c>
      <c r="L107" s="53"/>
    </row>
    <row r="108" spans="1:12" s="41" customFormat="1" ht="31.2" customHeight="1" x14ac:dyDescent="0.2">
      <c r="A108" s="106" t="s">
        <v>322</v>
      </c>
      <c r="B108" s="107" t="s">
        <v>12</v>
      </c>
      <c r="C108" s="108" t="s">
        <v>323</v>
      </c>
      <c r="D108" s="86">
        <v>2019</v>
      </c>
      <c r="E108" s="84" t="s">
        <v>14</v>
      </c>
      <c r="F108" s="105" t="s">
        <v>324</v>
      </c>
      <c r="G108" s="109" t="str">
        <f>HYPERLINK("https://www.lyellcollection.org/toc/sp/488/1")</f>
        <v>https://www.lyellcollection.org/toc/sp/488/1</v>
      </c>
      <c r="H108" s="110" t="s">
        <v>70</v>
      </c>
      <c r="I108" s="27" t="s">
        <v>2912</v>
      </c>
      <c r="J108" s="23" t="s">
        <v>71</v>
      </c>
      <c r="K108" s="102">
        <v>120</v>
      </c>
      <c r="L108" s="86" t="s">
        <v>209</v>
      </c>
    </row>
    <row r="109" spans="1:12" s="41" customFormat="1" ht="31.2" customHeight="1" x14ac:dyDescent="0.2">
      <c r="A109" s="106" t="s">
        <v>325</v>
      </c>
      <c r="B109" s="107" t="s">
        <v>12</v>
      </c>
      <c r="C109" s="108" t="s">
        <v>326</v>
      </c>
      <c r="D109" s="86">
        <v>2019</v>
      </c>
      <c r="E109" s="84" t="s">
        <v>14</v>
      </c>
      <c r="F109" s="105" t="s">
        <v>327</v>
      </c>
      <c r="G109" s="109" t="str">
        <f>HYPERLINK("https://www.lyellcollection.org/toc/sp/483/1")</f>
        <v>https://www.lyellcollection.org/toc/sp/483/1</v>
      </c>
      <c r="H109" s="110" t="s">
        <v>70</v>
      </c>
      <c r="I109" s="27" t="s">
        <v>2912</v>
      </c>
      <c r="J109" s="23" t="s">
        <v>71</v>
      </c>
      <c r="K109" s="102">
        <v>160</v>
      </c>
      <c r="L109" s="86" t="s">
        <v>209</v>
      </c>
    </row>
    <row r="110" spans="1:12" s="41" customFormat="1" ht="31.2" customHeight="1" x14ac:dyDescent="0.2">
      <c r="A110" s="106" t="s">
        <v>328</v>
      </c>
      <c r="B110" s="107" t="s">
        <v>12</v>
      </c>
      <c r="C110" s="106" t="s">
        <v>329</v>
      </c>
      <c r="D110" s="86">
        <v>2019</v>
      </c>
      <c r="E110" s="84" t="s">
        <v>14</v>
      </c>
      <c r="F110" s="105" t="s">
        <v>330</v>
      </c>
      <c r="G110" s="109" t="str">
        <f>HYPERLINK("https://www.lyellcollection.org/toc/sp/482/1")</f>
        <v>https://www.lyellcollection.org/toc/sp/482/1</v>
      </c>
      <c r="H110" s="110" t="s">
        <v>70</v>
      </c>
      <c r="I110" s="27" t="s">
        <v>2912</v>
      </c>
      <c r="J110" s="23" t="s">
        <v>71</v>
      </c>
      <c r="K110" s="102">
        <v>120</v>
      </c>
      <c r="L110" s="86" t="s">
        <v>209</v>
      </c>
    </row>
    <row r="111" spans="1:12" s="41" customFormat="1" ht="31.2" customHeight="1" x14ac:dyDescent="0.2">
      <c r="A111" s="106" t="s">
        <v>331</v>
      </c>
      <c r="B111" s="107" t="s">
        <v>12</v>
      </c>
      <c r="C111" s="106" t="s">
        <v>332</v>
      </c>
      <c r="D111" s="86">
        <v>2019</v>
      </c>
      <c r="E111" s="84" t="s">
        <v>14</v>
      </c>
      <c r="F111" s="105" t="s">
        <v>333</v>
      </c>
      <c r="G111" s="109" t="str">
        <f>HYPERLINK("https://www.lyellcollection.org/toc/sp/481/1")</f>
        <v>https://www.lyellcollection.org/toc/sp/481/1</v>
      </c>
      <c r="H111" s="110" t="s">
        <v>70</v>
      </c>
      <c r="I111" s="27" t="s">
        <v>2912</v>
      </c>
      <c r="J111" s="23" t="s">
        <v>71</v>
      </c>
      <c r="K111" s="102">
        <v>120</v>
      </c>
      <c r="L111" s="86" t="s">
        <v>209</v>
      </c>
    </row>
    <row r="112" spans="1:12" s="41" customFormat="1" ht="31.2" customHeight="1" x14ac:dyDescent="0.2">
      <c r="A112" s="106" t="s">
        <v>334</v>
      </c>
      <c r="B112" s="107" t="s">
        <v>12</v>
      </c>
      <c r="C112" s="106" t="s">
        <v>335</v>
      </c>
      <c r="D112" s="86">
        <v>2019</v>
      </c>
      <c r="E112" s="84" t="s">
        <v>14</v>
      </c>
      <c r="F112" s="105" t="s">
        <v>336</v>
      </c>
      <c r="G112" s="109" t="str">
        <f>HYPERLINK("https://www.lyellcollection.org/toc/sp/480/1")</f>
        <v>https://www.lyellcollection.org/toc/sp/480/1</v>
      </c>
      <c r="H112" s="110" t="s">
        <v>70</v>
      </c>
      <c r="I112" s="27" t="s">
        <v>2912</v>
      </c>
      <c r="J112" s="23" t="s">
        <v>71</v>
      </c>
      <c r="K112" s="102">
        <v>110</v>
      </c>
      <c r="L112" s="86" t="s">
        <v>209</v>
      </c>
    </row>
    <row r="113" spans="1:29" s="41" customFormat="1" ht="31.2" customHeight="1" x14ac:dyDescent="0.2">
      <c r="A113" s="106" t="s">
        <v>337</v>
      </c>
      <c r="B113" s="107" t="s">
        <v>12</v>
      </c>
      <c r="C113" s="106" t="s">
        <v>338</v>
      </c>
      <c r="D113" s="86">
        <v>2019</v>
      </c>
      <c r="E113" s="84" t="s">
        <v>14</v>
      </c>
      <c r="F113" s="105" t="s">
        <v>339</v>
      </c>
      <c r="G113" s="109" t="str">
        <f>HYPERLINK("https://www.lyellcollection.org/toc/sp/479/1")</f>
        <v>https://www.lyellcollection.org/toc/sp/479/1</v>
      </c>
      <c r="H113" s="110" t="s">
        <v>70</v>
      </c>
      <c r="I113" s="27" t="s">
        <v>2912</v>
      </c>
      <c r="J113" s="23" t="s">
        <v>71</v>
      </c>
      <c r="K113" s="102">
        <v>90</v>
      </c>
      <c r="L113" s="86" t="s">
        <v>209</v>
      </c>
    </row>
    <row r="114" spans="1:29" s="41" customFormat="1" ht="31.2" customHeight="1" x14ac:dyDescent="0.2">
      <c r="A114" s="106" t="s">
        <v>340</v>
      </c>
      <c r="B114" s="107" t="s">
        <v>12</v>
      </c>
      <c r="C114" s="106" t="s">
        <v>341</v>
      </c>
      <c r="D114" s="86">
        <v>2019</v>
      </c>
      <c r="E114" s="84" t="s">
        <v>14</v>
      </c>
      <c r="F114" s="105" t="s">
        <v>342</v>
      </c>
      <c r="G114" s="109" t="str">
        <f>HYPERLINK("https://www.lyellcollection.org/toc/sp/478/1")</f>
        <v>https://www.lyellcollection.org/toc/sp/478/1</v>
      </c>
      <c r="H114" s="110" t="s">
        <v>70</v>
      </c>
      <c r="I114" s="27" t="s">
        <v>2912</v>
      </c>
      <c r="J114" s="23" t="s">
        <v>1273</v>
      </c>
      <c r="K114" s="102">
        <v>120</v>
      </c>
      <c r="L114" s="86" t="s">
        <v>209</v>
      </c>
    </row>
    <row r="115" spans="1:29" s="41" customFormat="1" ht="31.2" customHeight="1" x14ac:dyDescent="0.2">
      <c r="A115" s="106" t="s">
        <v>343</v>
      </c>
      <c r="B115" s="107" t="s">
        <v>12</v>
      </c>
      <c r="C115" s="108" t="s">
        <v>344</v>
      </c>
      <c r="D115" s="86">
        <v>2019</v>
      </c>
      <c r="E115" s="84" t="s">
        <v>14</v>
      </c>
      <c r="F115" s="105" t="s">
        <v>345</v>
      </c>
      <c r="G115" s="109" t="str">
        <f>HYPERLINK("https://www.lyellcollection.org/toc/sp/477/1")</f>
        <v>https://www.lyellcollection.org/toc/sp/477/1</v>
      </c>
      <c r="H115" s="110" t="s">
        <v>70</v>
      </c>
      <c r="I115" s="27" t="s">
        <v>2912</v>
      </c>
      <c r="J115" s="23" t="s">
        <v>71</v>
      </c>
      <c r="K115" s="102">
        <v>150</v>
      </c>
      <c r="L115" s="86" t="s">
        <v>209</v>
      </c>
    </row>
    <row r="116" spans="1:29" s="41" customFormat="1" ht="31.2" customHeight="1" x14ac:dyDescent="0.2">
      <c r="A116" s="106" t="s">
        <v>346</v>
      </c>
      <c r="B116" s="107" t="s">
        <v>12</v>
      </c>
      <c r="C116" s="106" t="s">
        <v>347</v>
      </c>
      <c r="D116" s="23">
        <v>2019</v>
      </c>
      <c r="E116" s="84" t="s">
        <v>14</v>
      </c>
      <c r="F116" s="105" t="s">
        <v>348</v>
      </c>
      <c r="G116" s="109" t="str">
        <f>HYPERLINK("https://www.lyellcollection.org/toc/sp/475/1")</f>
        <v>https://www.lyellcollection.org/toc/sp/475/1</v>
      </c>
      <c r="H116" s="110" t="s">
        <v>70</v>
      </c>
      <c r="I116" s="27" t="s">
        <v>2912</v>
      </c>
      <c r="J116" s="23" t="s">
        <v>1273</v>
      </c>
      <c r="K116" s="102">
        <v>100</v>
      </c>
      <c r="L116" s="86" t="s">
        <v>209</v>
      </c>
    </row>
    <row r="117" spans="1:29" s="41" customFormat="1" ht="31.2" customHeight="1" x14ac:dyDescent="0.2">
      <c r="A117" s="106" t="s">
        <v>349</v>
      </c>
      <c r="B117" s="107" t="s">
        <v>12</v>
      </c>
      <c r="C117" s="108" t="s">
        <v>350</v>
      </c>
      <c r="D117" s="86">
        <v>2019</v>
      </c>
      <c r="E117" s="84" t="s">
        <v>14</v>
      </c>
      <c r="F117" s="105" t="s">
        <v>351</v>
      </c>
      <c r="G117" s="109" t="str">
        <f>HYPERLINK("https://www.lyellcollection.org/toc/sp/474/1")</f>
        <v>https://www.lyellcollection.org/toc/sp/474/1</v>
      </c>
      <c r="H117" s="110" t="s">
        <v>70</v>
      </c>
      <c r="I117" s="27" t="s">
        <v>2912</v>
      </c>
      <c r="J117" s="23" t="s">
        <v>71</v>
      </c>
      <c r="K117" s="102">
        <v>125</v>
      </c>
      <c r="L117" s="86" t="s">
        <v>209</v>
      </c>
    </row>
    <row r="118" spans="1:29" s="41" customFormat="1" ht="31.2" customHeight="1" x14ac:dyDescent="0.2">
      <c r="A118" s="106" t="s">
        <v>352</v>
      </c>
      <c r="B118" s="107" t="s">
        <v>12</v>
      </c>
      <c r="C118" s="108" t="s">
        <v>353</v>
      </c>
      <c r="D118" s="86">
        <v>2019</v>
      </c>
      <c r="E118" s="84" t="s">
        <v>14</v>
      </c>
      <c r="F118" s="105" t="s">
        <v>354</v>
      </c>
      <c r="G118" s="109" t="str">
        <f>HYPERLINK("https://www.lyellcollection.org/toc/sp/473/1")</f>
        <v>https://www.lyellcollection.org/toc/sp/473/1</v>
      </c>
      <c r="H118" s="110" t="s">
        <v>70</v>
      </c>
      <c r="I118" s="27" t="s">
        <v>2912</v>
      </c>
      <c r="J118" s="23" t="s">
        <v>1273</v>
      </c>
      <c r="K118" s="102">
        <v>110</v>
      </c>
      <c r="L118" s="86" t="s">
        <v>209</v>
      </c>
    </row>
    <row r="119" spans="1:29" s="41" customFormat="1" ht="31.2" customHeight="1" x14ac:dyDescent="0.2">
      <c r="A119" s="106" t="s">
        <v>355</v>
      </c>
      <c r="B119" s="107" t="s">
        <v>12</v>
      </c>
      <c r="C119" s="108" t="s">
        <v>356</v>
      </c>
      <c r="D119" s="86">
        <v>2019</v>
      </c>
      <c r="E119" s="84" t="s">
        <v>14</v>
      </c>
      <c r="F119" s="105" t="s">
        <v>357</v>
      </c>
      <c r="G119" s="109" t="str">
        <f>HYPERLINK("https://www.lyellcollection.org/toc/sp/471/1")</f>
        <v>https://www.lyellcollection.org/toc/sp/471/1</v>
      </c>
      <c r="H119" s="110" t="s">
        <v>70</v>
      </c>
      <c r="I119" s="27" t="s">
        <v>2912</v>
      </c>
      <c r="J119" s="23" t="s">
        <v>71</v>
      </c>
      <c r="K119" s="102">
        <v>125</v>
      </c>
      <c r="L119" s="86" t="s">
        <v>209</v>
      </c>
      <c r="AB119" s="117"/>
      <c r="AC119" s="117"/>
    </row>
    <row r="120" spans="1:29" s="41" customFormat="1" ht="31.2" customHeight="1" x14ac:dyDescent="0.2">
      <c r="A120" s="115" t="s">
        <v>358</v>
      </c>
      <c r="B120" s="107" t="s">
        <v>12</v>
      </c>
      <c r="C120" s="108" t="s">
        <v>359</v>
      </c>
      <c r="D120" s="86">
        <v>2019</v>
      </c>
      <c r="E120" s="84" t="s">
        <v>14</v>
      </c>
      <c r="F120" s="23" t="s">
        <v>360</v>
      </c>
      <c r="G120" s="109" t="str">
        <f>HYPERLINK("https://www.lyellcollection.org/toc/sp/470/1")</f>
        <v>https://www.lyellcollection.org/toc/sp/470/1</v>
      </c>
      <c r="H120" s="110" t="s">
        <v>70</v>
      </c>
      <c r="I120" s="27" t="s">
        <v>2912</v>
      </c>
      <c r="J120" s="23" t="s">
        <v>1273</v>
      </c>
      <c r="K120" s="102">
        <v>140</v>
      </c>
      <c r="L120" s="86" t="s">
        <v>209</v>
      </c>
    </row>
    <row r="121" spans="1:29" s="41" customFormat="1" ht="31.2" customHeight="1" x14ac:dyDescent="0.2">
      <c r="A121" s="115" t="s">
        <v>361</v>
      </c>
      <c r="B121" s="107" t="s">
        <v>12</v>
      </c>
      <c r="C121" s="108" t="s">
        <v>362</v>
      </c>
      <c r="D121" s="86">
        <v>2019</v>
      </c>
      <c r="E121" s="84" t="s">
        <v>14</v>
      </c>
      <c r="F121" s="105" t="s">
        <v>363</v>
      </c>
      <c r="G121" s="109" t="str">
        <f>HYPERLINK("https://www.lyellcollection.org/toc/sp/467/1")</f>
        <v>https://www.lyellcollection.org/toc/sp/467/1</v>
      </c>
      <c r="H121" s="110" t="s">
        <v>70</v>
      </c>
      <c r="I121" s="27" t="s">
        <v>2912</v>
      </c>
      <c r="J121" s="23" t="s">
        <v>71</v>
      </c>
      <c r="K121" s="102">
        <v>120</v>
      </c>
      <c r="L121" s="86" t="s">
        <v>209</v>
      </c>
    </row>
    <row r="122" spans="1:29" s="41" customFormat="1" ht="31.2" customHeight="1" x14ac:dyDescent="0.2">
      <c r="A122" s="111" t="s">
        <v>319</v>
      </c>
      <c r="B122" s="116" t="s">
        <v>220</v>
      </c>
      <c r="C122" s="116" t="s">
        <v>320</v>
      </c>
      <c r="D122" s="23">
        <v>2019</v>
      </c>
      <c r="E122" s="84" t="s">
        <v>14</v>
      </c>
      <c r="F122" s="84" t="s">
        <v>321</v>
      </c>
      <c r="G122" s="112" t="s">
        <v>79</v>
      </c>
      <c r="H122" s="191"/>
      <c r="I122" s="192"/>
      <c r="J122" s="23" t="s">
        <v>71</v>
      </c>
      <c r="K122" s="102">
        <v>120</v>
      </c>
      <c r="L122" s="53"/>
    </row>
    <row r="123" spans="1:29" s="41" customFormat="1" ht="31.2" customHeight="1" x14ac:dyDescent="0.2">
      <c r="A123" s="111" t="s">
        <v>364</v>
      </c>
      <c r="B123" s="113" t="s">
        <v>39</v>
      </c>
      <c r="C123" s="106" t="s">
        <v>365</v>
      </c>
      <c r="D123" s="23">
        <v>2019</v>
      </c>
      <c r="E123" s="84" t="s">
        <v>14</v>
      </c>
      <c r="F123" s="84" t="s">
        <v>366</v>
      </c>
      <c r="G123" s="109" t="str">
        <f>HYPERLINK("https://www.lyellcollection.org/toc/mem/49/1")</f>
        <v>https://www.lyellcollection.org/toc/mem/49/1</v>
      </c>
      <c r="H123" s="110" t="s">
        <v>70</v>
      </c>
      <c r="I123" s="27" t="s">
        <v>2912</v>
      </c>
      <c r="J123" s="23" t="s">
        <v>71</v>
      </c>
      <c r="K123" s="102">
        <v>140</v>
      </c>
      <c r="L123" s="53"/>
    </row>
    <row r="124" spans="1:29" s="41" customFormat="1" ht="31.2" customHeight="1" x14ac:dyDescent="0.2">
      <c r="A124" s="106" t="s">
        <v>367</v>
      </c>
      <c r="B124" s="107" t="s">
        <v>12</v>
      </c>
      <c r="C124" s="108" t="s">
        <v>368</v>
      </c>
      <c r="D124" s="86">
        <v>2018</v>
      </c>
      <c r="E124" s="84" t="s">
        <v>14</v>
      </c>
      <c r="F124" s="105" t="s">
        <v>369</v>
      </c>
      <c r="G124" s="109" t="str">
        <f>HYPERLINK("https://www.lyellcollection.org/toc/sp/472/1")</f>
        <v>https://www.lyellcollection.org/toc/sp/472/1</v>
      </c>
      <c r="H124" s="110" t="s">
        <v>70</v>
      </c>
      <c r="I124" s="27" t="s">
        <v>2912</v>
      </c>
      <c r="J124" s="23" t="s">
        <v>71</v>
      </c>
      <c r="K124" s="102">
        <v>120</v>
      </c>
      <c r="L124" s="86" t="s">
        <v>209</v>
      </c>
    </row>
    <row r="125" spans="1:29" s="41" customFormat="1" ht="31.2" customHeight="1" x14ac:dyDescent="0.2">
      <c r="A125" s="115" t="s">
        <v>370</v>
      </c>
      <c r="B125" s="107" t="s">
        <v>12</v>
      </c>
      <c r="C125" s="108" t="s">
        <v>371</v>
      </c>
      <c r="D125" s="86">
        <v>2018</v>
      </c>
      <c r="E125" s="84" t="s">
        <v>14</v>
      </c>
      <c r="F125" s="23" t="s">
        <v>372</v>
      </c>
      <c r="G125" s="109" t="str">
        <f>HYPERLINK("https://www.lyellcollection.org/toc/sp/469/1")</f>
        <v>https://www.lyellcollection.org/toc/sp/469/1</v>
      </c>
      <c r="H125" s="110" t="s">
        <v>70</v>
      </c>
      <c r="I125" s="27" t="s">
        <v>2912</v>
      </c>
      <c r="J125" s="23" t="s">
        <v>71</v>
      </c>
      <c r="K125" s="102">
        <v>130</v>
      </c>
      <c r="L125" s="86" t="s">
        <v>209</v>
      </c>
    </row>
    <row r="126" spans="1:29" s="41" customFormat="1" ht="31.2" customHeight="1" x14ac:dyDescent="0.2">
      <c r="A126" s="115" t="s">
        <v>373</v>
      </c>
      <c r="B126" s="107" t="s">
        <v>12</v>
      </c>
      <c r="C126" s="108" t="s">
        <v>374</v>
      </c>
      <c r="D126" s="23">
        <v>2018</v>
      </c>
      <c r="E126" s="84" t="s">
        <v>14</v>
      </c>
      <c r="F126" s="23" t="s">
        <v>375</v>
      </c>
      <c r="G126" s="109" t="str">
        <f>HYPERLINK("https://www.lyellcollection.org/toc/sp/468/1")</f>
        <v>https://www.lyellcollection.org/toc/sp/468/1</v>
      </c>
      <c r="H126" s="110" t="s">
        <v>70</v>
      </c>
      <c r="I126" s="27" t="s">
        <v>2912</v>
      </c>
      <c r="J126" s="23" t="s">
        <v>71</v>
      </c>
      <c r="K126" s="102">
        <v>90</v>
      </c>
      <c r="L126" s="86" t="s">
        <v>209</v>
      </c>
    </row>
    <row r="127" spans="1:29" s="41" customFormat="1" ht="31.2" customHeight="1" x14ac:dyDescent="0.2">
      <c r="A127" s="115" t="s">
        <v>376</v>
      </c>
      <c r="B127" s="107" t="s">
        <v>12</v>
      </c>
      <c r="C127" s="108" t="s">
        <v>377</v>
      </c>
      <c r="D127" s="86">
        <v>2018</v>
      </c>
      <c r="E127" s="84" t="s">
        <v>14</v>
      </c>
      <c r="F127" s="105" t="s">
        <v>378</v>
      </c>
      <c r="G127" s="109" t="str">
        <f>HYPERLINK("https://www.lyellcollection.org/toc/sp/466/1")</f>
        <v>https://www.lyellcollection.org/toc/sp/466/1</v>
      </c>
      <c r="H127" s="110" t="s">
        <v>70</v>
      </c>
      <c r="I127" s="27" t="s">
        <v>2912</v>
      </c>
      <c r="J127" s="23" t="s">
        <v>71</v>
      </c>
      <c r="K127" s="102">
        <v>130</v>
      </c>
      <c r="L127" s="86" t="s">
        <v>209</v>
      </c>
    </row>
    <row r="128" spans="1:29" s="41" customFormat="1" ht="31.2" customHeight="1" x14ac:dyDescent="0.2">
      <c r="A128" s="115" t="s">
        <v>379</v>
      </c>
      <c r="B128" s="107" t="s">
        <v>12</v>
      </c>
      <c r="C128" s="108" t="s">
        <v>380</v>
      </c>
      <c r="D128" s="86">
        <v>2018</v>
      </c>
      <c r="E128" s="84" t="s">
        <v>14</v>
      </c>
      <c r="F128" s="23" t="s">
        <v>381</v>
      </c>
      <c r="G128" s="109" t="str">
        <f>HYPERLINK("https://www.lyellcollection.org/toc/sp/465/1")</f>
        <v>https://www.lyellcollection.org/toc/sp/465/1</v>
      </c>
      <c r="H128" s="110" t="s">
        <v>70</v>
      </c>
      <c r="I128" s="27" t="s">
        <v>2912</v>
      </c>
      <c r="J128" s="23" t="s">
        <v>71</v>
      </c>
      <c r="K128" s="102">
        <v>125</v>
      </c>
      <c r="L128" s="86" t="s">
        <v>209</v>
      </c>
    </row>
    <row r="129" spans="1:29" s="41" customFormat="1" ht="31.2" customHeight="1" x14ac:dyDescent="0.2">
      <c r="A129" s="106" t="s">
        <v>382</v>
      </c>
      <c r="B129" s="107" t="s">
        <v>12</v>
      </c>
      <c r="C129" s="118" t="s">
        <v>383</v>
      </c>
      <c r="D129" s="23">
        <v>2018</v>
      </c>
      <c r="E129" s="84" t="s">
        <v>14</v>
      </c>
      <c r="F129" s="105" t="s">
        <v>384</v>
      </c>
      <c r="G129" s="109" t="str">
        <f>HYPERLINK("https://www.lyellcollection.org/toc/sp/464/1")</f>
        <v>https://www.lyellcollection.org/toc/sp/464/1</v>
      </c>
      <c r="H129" s="110" t="s">
        <v>70</v>
      </c>
      <c r="I129" s="27" t="s">
        <v>2912</v>
      </c>
      <c r="J129" s="23" t="s">
        <v>71</v>
      </c>
      <c r="K129" s="102">
        <v>120</v>
      </c>
      <c r="L129" s="86" t="s">
        <v>209</v>
      </c>
    </row>
    <row r="130" spans="1:29" s="41" customFormat="1" ht="31.2" customHeight="1" x14ac:dyDescent="0.2">
      <c r="A130" s="106" t="s">
        <v>385</v>
      </c>
      <c r="B130" s="107" t="s">
        <v>12</v>
      </c>
      <c r="C130" s="106" t="s">
        <v>386</v>
      </c>
      <c r="D130" s="23">
        <v>2018</v>
      </c>
      <c r="E130" s="84" t="s">
        <v>14</v>
      </c>
      <c r="F130" s="105" t="s">
        <v>387</v>
      </c>
      <c r="G130" s="109" t="str">
        <f>HYPERLINK("https://www.lyellcollection.org/toc/sp/463/1")</f>
        <v>https://www.lyellcollection.org/toc/sp/463/1</v>
      </c>
      <c r="H130" s="110" t="s">
        <v>70</v>
      </c>
      <c r="I130" s="27" t="s">
        <v>2912</v>
      </c>
      <c r="J130" s="23" t="s">
        <v>71</v>
      </c>
      <c r="K130" s="102">
        <v>90</v>
      </c>
      <c r="L130" s="86" t="s">
        <v>209</v>
      </c>
    </row>
    <row r="131" spans="1:29" s="41" customFormat="1" ht="31.2" customHeight="1" x14ac:dyDescent="0.2">
      <c r="A131" s="106" t="s">
        <v>388</v>
      </c>
      <c r="B131" s="107" t="s">
        <v>12</v>
      </c>
      <c r="C131" s="106" t="s">
        <v>389</v>
      </c>
      <c r="D131" s="23">
        <v>2018</v>
      </c>
      <c r="E131" s="84" t="s">
        <v>14</v>
      </c>
      <c r="F131" s="105" t="s">
        <v>390</v>
      </c>
      <c r="G131" s="109" t="str">
        <f>HYPERLINK("https://www.lyellcollection.org/toc/sp/462/1")</f>
        <v>https://www.lyellcollection.org/toc/sp/462/1</v>
      </c>
      <c r="H131" s="110" t="s">
        <v>70</v>
      </c>
      <c r="I131" s="27" t="s">
        <v>2912</v>
      </c>
      <c r="J131" s="23" t="s">
        <v>71</v>
      </c>
      <c r="K131" s="102">
        <v>90</v>
      </c>
      <c r="L131" s="86" t="s">
        <v>209</v>
      </c>
    </row>
    <row r="132" spans="1:29" s="41" customFormat="1" ht="31.2" customHeight="1" x14ac:dyDescent="0.2">
      <c r="A132" s="106" t="s">
        <v>391</v>
      </c>
      <c r="B132" s="107" t="s">
        <v>12</v>
      </c>
      <c r="C132" s="118" t="s">
        <v>392</v>
      </c>
      <c r="D132" s="23">
        <v>2018</v>
      </c>
      <c r="E132" s="84" t="s">
        <v>14</v>
      </c>
      <c r="F132" s="105" t="s">
        <v>393</v>
      </c>
      <c r="G132" s="109" t="str">
        <f>HYPERLINK("https://www.lyellcollection.org/toc/sp/461/1")</f>
        <v>https://www.lyellcollection.org/toc/sp/461/1</v>
      </c>
      <c r="H132" s="110" t="s">
        <v>70</v>
      </c>
      <c r="I132" s="27" t="s">
        <v>2912</v>
      </c>
      <c r="J132" s="23" t="s">
        <v>71</v>
      </c>
      <c r="K132" s="102">
        <v>100</v>
      </c>
      <c r="L132" s="86" t="s">
        <v>209</v>
      </c>
    </row>
    <row r="133" spans="1:29" s="41" customFormat="1" ht="31.2" customHeight="1" x14ac:dyDescent="0.2">
      <c r="A133" s="106" t="s">
        <v>394</v>
      </c>
      <c r="B133" s="107" t="s">
        <v>12</v>
      </c>
      <c r="C133" s="106" t="s">
        <v>395</v>
      </c>
      <c r="D133" s="23">
        <v>2018</v>
      </c>
      <c r="E133" s="84" t="s">
        <v>14</v>
      </c>
      <c r="F133" s="105" t="s">
        <v>396</v>
      </c>
      <c r="G133" s="109" t="str">
        <f>HYPERLINK("https://www.lyellcollection.org/toc/sp/460/1")</f>
        <v>https://www.lyellcollection.org/toc/sp/460/1</v>
      </c>
      <c r="H133" s="110" t="s">
        <v>70</v>
      </c>
      <c r="I133" s="27" t="s">
        <v>2912</v>
      </c>
      <c r="J133" s="23" t="s">
        <v>71</v>
      </c>
      <c r="K133" s="102">
        <v>110</v>
      </c>
      <c r="L133" s="86" t="s">
        <v>209</v>
      </c>
    </row>
    <row r="134" spans="1:29" s="41" customFormat="1" ht="31.2" customHeight="1" x14ac:dyDescent="0.2">
      <c r="A134" s="106" t="s">
        <v>397</v>
      </c>
      <c r="B134" s="107" t="s">
        <v>12</v>
      </c>
      <c r="C134" s="106" t="s">
        <v>398</v>
      </c>
      <c r="D134" s="23">
        <v>2018</v>
      </c>
      <c r="E134" s="84" t="s">
        <v>14</v>
      </c>
      <c r="F134" s="105" t="s">
        <v>399</v>
      </c>
      <c r="G134" s="109" t="str">
        <f>HYPERLINK("https://www.lyellcollection.org/toc/sp/459/1")</f>
        <v>https://www.lyellcollection.org/toc/sp/459/1</v>
      </c>
      <c r="H134" s="110" t="s">
        <v>70</v>
      </c>
      <c r="I134" s="27" t="s">
        <v>2912</v>
      </c>
      <c r="J134" s="23" t="s">
        <v>71</v>
      </c>
      <c r="K134" s="102">
        <v>85</v>
      </c>
      <c r="L134" s="86" t="s">
        <v>209</v>
      </c>
    </row>
    <row r="135" spans="1:29" s="41" customFormat="1" ht="31.2" customHeight="1" x14ac:dyDescent="0.2">
      <c r="A135" s="106" t="s">
        <v>400</v>
      </c>
      <c r="B135" s="107" t="s">
        <v>12</v>
      </c>
      <c r="C135" s="118" t="s">
        <v>401</v>
      </c>
      <c r="D135" s="23">
        <v>2018</v>
      </c>
      <c r="E135" s="84" t="s">
        <v>14</v>
      </c>
      <c r="F135" s="105" t="s">
        <v>402</v>
      </c>
      <c r="G135" s="109" t="str">
        <f>HYPERLINK("https://www.lyellcollection.org/toc/sp/456/1")</f>
        <v>https://www.lyellcollection.org/toc/sp/456/1</v>
      </c>
      <c r="H135" s="110" t="s">
        <v>70</v>
      </c>
      <c r="I135" s="27" t="s">
        <v>2912</v>
      </c>
      <c r="J135" s="23" t="s">
        <v>71</v>
      </c>
      <c r="K135" s="102">
        <v>90</v>
      </c>
      <c r="L135" s="86" t="s">
        <v>209</v>
      </c>
    </row>
    <row r="136" spans="1:29" s="41" customFormat="1" ht="31.2" customHeight="1" x14ac:dyDescent="0.2">
      <c r="A136" s="106" t="s">
        <v>403</v>
      </c>
      <c r="B136" s="107" t="s">
        <v>12</v>
      </c>
      <c r="C136" s="118" t="s">
        <v>404</v>
      </c>
      <c r="D136" s="23">
        <v>2018</v>
      </c>
      <c r="E136" s="84" t="s">
        <v>14</v>
      </c>
      <c r="F136" s="105" t="s">
        <v>405</v>
      </c>
      <c r="G136" s="109" t="str">
        <f>HYPERLINK("https://www.lyellcollection.org/toc/sp/455/1")</f>
        <v>https://www.lyellcollection.org/toc/sp/455/1</v>
      </c>
      <c r="H136" s="110" t="s">
        <v>70</v>
      </c>
      <c r="I136" s="27" t="s">
        <v>2912</v>
      </c>
      <c r="J136" s="23" t="s">
        <v>71</v>
      </c>
      <c r="K136" s="102">
        <v>90</v>
      </c>
      <c r="L136" s="86" t="s">
        <v>209</v>
      </c>
    </row>
    <row r="137" spans="1:29" s="41" customFormat="1" ht="31.2" customHeight="1" x14ac:dyDescent="0.2">
      <c r="A137" s="106" t="s">
        <v>406</v>
      </c>
      <c r="B137" s="107" t="s">
        <v>12</v>
      </c>
      <c r="C137" s="118" t="s">
        <v>407</v>
      </c>
      <c r="D137" s="23">
        <v>2018</v>
      </c>
      <c r="E137" s="84" t="s">
        <v>14</v>
      </c>
      <c r="F137" s="105" t="s">
        <v>408</v>
      </c>
      <c r="G137" s="109" t="str">
        <f>HYPERLINK("https://www.lyellcollection.org/toc/sp/453/1")</f>
        <v>https://www.lyellcollection.org/toc/sp/453/1</v>
      </c>
      <c r="H137" s="110" t="s">
        <v>70</v>
      </c>
      <c r="I137" s="27" t="s">
        <v>2912</v>
      </c>
      <c r="J137" s="23" t="s">
        <v>71</v>
      </c>
      <c r="K137" s="102">
        <v>120</v>
      </c>
      <c r="L137" s="86" t="s">
        <v>209</v>
      </c>
    </row>
    <row r="138" spans="1:29" s="41" customFormat="1" ht="31.2" customHeight="1" x14ac:dyDescent="0.2">
      <c r="A138" s="106" t="s">
        <v>409</v>
      </c>
      <c r="B138" s="107" t="s">
        <v>12</v>
      </c>
      <c r="C138" s="118" t="s">
        <v>410</v>
      </c>
      <c r="D138" s="23">
        <v>2018</v>
      </c>
      <c r="E138" s="84" t="s">
        <v>14</v>
      </c>
      <c r="F138" s="105" t="s">
        <v>411</v>
      </c>
      <c r="G138" s="109" t="str">
        <f>HYPERLINK("https://www.lyellcollection.org/toc/sp/451/1")</f>
        <v>https://www.lyellcollection.org/toc/sp/451/1</v>
      </c>
      <c r="H138" s="110" t="s">
        <v>70</v>
      </c>
      <c r="I138" s="27" t="s">
        <v>2912</v>
      </c>
      <c r="J138" s="23" t="s">
        <v>71</v>
      </c>
      <c r="K138" s="102">
        <v>90</v>
      </c>
      <c r="L138" s="86" t="s">
        <v>209</v>
      </c>
      <c r="M138" s="117"/>
      <c r="N138" s="117"/>
      <c r="O138" s="117"/>
      <c r="P138" s="117"/>
      <c r="Q138" s="117"/>
      <c r="R138" s="117"/>
      <c r="S138" s="117"/>
      <c r="T138" s="117"/>
      <c r="U138" s="117"/>
      <c r="V138" s="117"/>
      <c r="W138" s="117"/>
      <c r="X138" s="117"/>
      <c r="Y138" s="117"/>
      <c r="Z138" s="117"/>
      <c r="AA138" s="117"/>
      <c r="AB138" s="117"/>
      <c r="AC138" s="117"/>
    </row>
    <row r="139" spans="1:29" s="41" customFormat="1" ht="31.2" customHeight="1" x14ac:dyDescent="0.2">
      <c r="A139" s="106" t="s">
        <v>412</v>
      </c>
      <c r="B139" s="107" t="s">
        <v>12</v>
      </c>
      <c r="C139" s="108" t="s">
        <v>413</v>
      </c>
      <c r="D139" s="23">
        <v>2018</v>
      </c>
      <c r="E139" s="84" t="s">
        <v>14</v>
      </c>
      <c r="F139" s="105" t="s">
        <v>414</v>
      </c>
      <c r="G139" s="109" t="str">
        <f>HYPERLINK("https://www.lyellcollection.org/toc/sp/450/1")</f>
        <v>https://www.lyellcollection.org/toc/sp/450/1</v>
      </c>
      <c r="H139" s="110" t="s">
        <v>70</v>
      </c>
      <c r="I139" s="27" t="s">
        <v>2912</v>
      </c>
      <c r="J139" s="23" t="s">
        <v>71</v>
      </c>
      <c r="K139" s="102">
        <v>120</v>
      </c>
      <c r="L139" s="86" t="s">
        <v>415</v>
      </c>
    </row>
    <row r="140" spans="1:29" s="41" customFormat="1" ht="31.2" customHeight="1" x14ac:dyDescent="0.2">
      <c r="A140" s="106" t="s">
        <v>416</v>
      </c>
      <c r="B140" s="107" t="s">
        <v>12</v>
      </c>
      <c r="C140" s="106" t="s">
        <v>417</v>
      </c>
      <c r="D140" s="23">
        <v>2018</v>
      </c>
      <c r="E140" s="84" t="s">
        <v>14</v>
      </c>
      <c r="F140" s="105" t="s">
        <v>418</v>
      </c>
      <c r="G140" s="109" t="str">
        <f>HYPERLINK("https://www.lyellcollection.org/toc/sp/440/1")</f>
        <v>https://www.lyellcollection.org/toc/sp/440/1</v>
      </c>
      <c r="H140" s="110" t="s">
        <v>70</v>
      </c>
      <c r="I140" s="27" t="s">
        <v>2912</v>
      </c>
      <c r="J140" s="23" t="s">
        <v>71</v>
      </c>
      <c r="K140" s="102">
        <v>100</v>
      </c>
      <c r="L140" s="86" t="s">
        <v>415</v>
      </c>
    </row>
    <row r="141" spans="1:29" s="41" customFormat="1" ht="31.2" customHeight="1" x14ac:dyDescent="0.2">
      <c r="A141" s="111" t="s">
        <v>419</v>
      </c>
      <c r="B141" s="107" t="s">
        <v>12</v>
      </c>
      <c r="C141" s="106" t="s">
        <v>420</v>
      </c>
      <c r="D141" s="23">
        <v>2018</v>
      </c>
      <c r="E141" s="84" t="s">
        <v>14</v>
      </c>
      <c r="F141" s="105" t="s">
        <v>421</v>
      </c>
      <c r="G141" s="109" t="str">
        <f>HYPERLINK("https://www.lyellcollection.org/toc/sp/435/1")</f>
        <v>https://www.lyellcollection.org/toc/sp/435/1</v>
      </c>
      <c r="H141" s="110" t="s">
        <v>70</v>
      </c>
      <c r="I141" s="27" t="s">
        <v>2912</v>
      </c>
      <c r="J141" s="23" t="s">
        <v>71</v>
      </c>
      <c r="K141" s="102">
        <v>100</v>
      </c>
      <c r="L141" s="86" t="s">
        <v>415</v>
      </c>
    </row>
    <row r="142" spans="1:29" s="41" customFormat="1" ht="31.2" customHeight="1" x14ac:dyDescent="0.2">
      <c r="A142" s="111" t="s">
        <v>422</v>
      </c>
      <c r="B142" s="107" t="s">
        <v>423</v>
      </c>
      <c r="C142" s="106" t="s">
        <v>424</v>
      </c>
      <c r="D142" s="23">
        <v>2018</v>
      </c>
      <c r="E142" s="105" t="s">
        <v>14</v>
      </c>
      <c r="F142" s="84" t="s">
        <v>425</v>
      </c>
      <c r="G142" s="109" t="str">
        <f>HYPERLINK("https://www.lyellcollection.org/toc/pgc/8/1")</f>
        <v>https://www.lyellcollection.org/toc/pgc/8/1</v>
      </c>
      <c r="H142" s="110" t="s">
        <v>70</v>
      </c>
      <c r="I142" s="27" t="s">
        <v>2912</v>
      </c>
      <c r="J142" s="23" t="s">
        <v>71</v>
      </c>
      <c r="K142" s="102">
        <v>150</v>
      </c>
      <c r="L142" s="53"/>
    </row>
    <row r="143" spans="1:29" s="41" customFormat="1" ht="31.2" customHeight="1" x14ac:dyDescent="0.2">
      <c r="A143" s="111" t="s">
        <v>426</v>
      </c>
      <c r="B143" s="106" t="s">
        <v>427</v>
      </c>
      <c r="C143" s="106" t="s">
        <v>428</v>
      </c>
      <c r="D143" s="23">
        <v>2017</v>
      </c>
      <c r="E143" s="84" t="s">
        <v>14</v>
      </c>
      <c r="F143" s="84" t="s">
        <v>429</v>
      </c>
      <c r="G143" s="112" t="s">
        <v>79</v>
      </c>
      <c r="H143" s="191"/>
      <c r="I143" s="192"/>
      <c r="J143" s="23" t="s">
        <v>71</v>
      </c>
      <c r="K143" s="102">
        <v>100</v>
      </c>
      <c r="L143" s="53"/>
    </row>
    <row r="144" spans="1:29" s="41" customFormat="1" ht="31.2" customHeight="1" x14ac:dyDescent="0.2">
      <c r="A144" s="106" t="s">
        <v>430</v>
      </c>
      <c r="B144" s="107" t="s">
        <v>43</v>
      </c>
      <c r="C144" s="116" t="s">
        <v>431</v>
      </c>
      <c r="D144" s="23">
        <v>2017</v>
      </c>
      <c r="E144" s="84" t="s">
        <v>14</v>
      </c>
      <c r="F144" s="84" t="s">
        <v>432</v>
      </c>
      <c r="G144" s="109" t="str">
        <f>HYPERLINK("https://www.lyellcollection.org/toc/egsp/28/1")</f>
        <v>https://www.lyellcollection.org/toc/egsp/28/1</v>
      </c>
      <c r="H144" s="110" t="s">
        <v>70</v>
      </c>
      <c r="I144" s="27" t="s">
        <v>2912</v>
      </c>
      <c r="J144" s="23" t="s">
        <v>1273</v>
      </c>
      <c r="K144" s="102">
        <v>120</v>
      </c>
      <c r="L144" s="53"/>
    </row>
    <row r="145" spans="1:12" s="41" customFormat="1" ht="31.2" customHeight="1" x14ac:dyDescent="0.2">
      <c r="A145" s="106" t="s">
        <v>433</v>
      </c>
      <c r="B145" s="107" t="s">
        <v>12</v>
      </c>
      <c r="C145" s="106" t="s">
        <v>434</v>
      </c>
      <c r="D145" s="23">
        <v>2017</v>
      </c>
      <c r="E145" s="84" t="s">
        <v>14</v>
      </c>
      <c r="F145" s="105" t="s">
        <v>435</v>
      </c>
      <c r="G145" s="109" t="str">
        <f>HYPERLINK("https://www.lyellcollection.org/toc/sp/458/1")</f>
        <v>https://www.lyellcollection.org/toc/sp/458/1</v>
      </c>
      <c r="H145" s="110" t="s">
        <v>70</v>
      </c>
      <c r="I145" s="27" t="s">
        <v>2912</v>
      </c>
      <c r="J145" s="23" t="s">
        <v>71</v>
      </c>
      <c r="K145" s="102">
        <v>90</v>
      </c>
      <c r="L145" s="86" t="s">
        <v>209</v>
      </c>
    </row>
    <row r="146" spans="1:12" s="41" customFormat="1" ht="31.2" customHeight="1" x14ac:dyDescent="0.2">
      <c r="A146" s="106" t="s">
        <v>436</v>
      </c>
      <c r="B146" s="107" t="s">
        <v>12</v>
      </c>
      <c r="C146" s="106" t="s">
        <v>437</v>
      </c>
      <c r="D146" s="23">
        <v>2017</v>
      </c>
      <c r="E146" s="84" t="s">
        <v>14</v>
      </c>
      <c r="F146" s="105" t="s">
        <v>438</v>
      </c>
      <c r="G146" s="109" t="str">
        <f>HYPERLINK("https://www.lyellcollection.org/toc/sp/457/1")</f>
        <v>https://www.lyellcollection.org/toc/sp/457/1</v>
      </c>
      <c r="H146" s="110" t="s">
        <v>70</v>
      </c>
      <c r="I146" s="27" t="s">
        <v>2912</v>
      </c>
      <c r="J146" s="23" t="s">
        <v>71</v>
      </c>
      <c r="K146" s="102">
        <v>120</v>
      </c>
      <c r="L146" s="86" t="s">
        <v>209</v>
      </c>
    </row>
    <row r="147" spans="1:12" s="41" customFormat="1" ht="31.2" customHeight="1" x14ac:dyDescent="0.2">
      <c r="A147" s="106" t="s">
        <v>439</v>
      </c>
      <c r="B147" s="107" t="s">
        <v>12</v>
      </c>
      <c r="C147" s="118" t="s">
        <v>440</v>
      </c>
      <c r="D147" s="23">
        <v>2017</v>
      </c>
      <c r="E147" s="84" t="s">
        <v>14</v>
      </c>
      <c r="F147" s="105" t="s">
        <v>441</v>
      </c>
      <c r="G147" s="109" t="str">
        <f>HYPERLINK("https://www.lyellcollection.org/toc/sp/454/1")</f>
        <v>https://www.lyellcollection.org/toc/sp/454/1</v>
      </c>
      <c r="H147" s="110" t="s">
        <v>70</v>
      </c>
      <c r="I147" s="27" t="s">
        <v>2912</v>
      </c>
      <c r="J147" s="23" t="s">
        <v>71</v>
      </c>
      <c r="K147" s="102">
        <v>120</v>
      </c>
      <c r="L147" s="86" t="s">
        <v>209</v>
      </c>
    </row>
    <row r="148" spans="1:12" s="41" customFormat="1" ht="31.2" customHeight="1" x14ac:dyDescent="0.2">
      <c r="A148" s="106" t="s">
        <v>442</v>
      </c>
      <c r="B148" s="107" t="s">
        <v>12</v>
      </c>
      <c r="C148" s="106" t="s">
        <v>443</v>
      </c>
      <c r="D148" s="23">
        <v>2017</v>
      </c>
      <c r="E148" s="84" t="s">
        <v>14</v>
      </c>
      <c r="F148" s="105" t="s">
        <v>444</v>
      </c>
      <c r="G148" s="109" t="str">
        <f>HYPERLINK("https://www.lyellcollection.org/toc/sp/452/1")</f>
        <v>https://www.lyellcollection.org/toc/sp/452/1</v>
      </c>
      <c r="H148" s="110" t="s">
        <v>70</v>
      </c>
      <c r="I148" s="27" t="s">
        <v>2912</v>
      </c>
      <c r="J148" s="23" t="s">
        <v>71</v>
      </c>
      <c r="K148" s="102">
        <v>100</v>
      </c>
      <c r="L148" s="86" t="s">
        <v>209</v>
      </c>
    </row>
    <row r="149" spans="1:12" s="41" customFormat="1" ht="31.2" customHeight="1" x14ac:dyDescent="0.2">
      <c r="A149" s="106" t="s">
        <v>445</v>
      </c>
      <c r="B149" s="107" t="s">
        <v>12</v>
      </c>
      <c r="C149" s="108" t="s">
        <v>446</v>
      </c>
      <c r="D149" s="23">
        <v>2017</v>
      </c>
      <c r="E149" s="84" t="s">
        <v>14</v>
      </c>
      <c r="F149" s="105" t="s">
        <v>447</v>
      </c>
      <c r="G149" s="109" t="str">
        <f>HYPERLINK("https://www.lyellcollection.org/toc/sp/449/1")</f>
        <v>https://www.lyellcollection.org/toc/sp/449/1</v>
      </c>
      <c r="H149" s="110" t="s">
        <v>70</v>
      </c>
      <c r="I149" s="27" t="s">
        <v>2912</v>
      </c>
      <c r="J149" s="23" t="s">
        <v>71</v>
      </c>
      <c r="K149" s="102">
        <v>110</v>
      </c>
      <c r="L149" s="86" t="s">
        <v>415</v>
      </c>
    </row>
    <row r="150" spans="1:12" s="41" customFormat="1" ht="31.2" customHeight="1" x14ac:dyDescent="0.2">
      <c r="A150" s="106" t="s">
        <v>448</v>
      </c>
      <c r="B150" s="107" t="s">
        <v>12</v>
      </c>
      <c r="C150" s="108" t="s">
        <v>449</v>
      </c>
      <c r="D150" s="23">
        <v>2017</v>
      </c>
      <c r="E150" s="84" t="s">
        <v>14</v>
      </c>
      <c r="F150" s="105" t="s">
        <v>450</v>
      </c>
      <c r="G150" s="109" t="str">
        <f>HYPERLINK("https://www.lyellcollection.org/toc/sp/448/1")</f>
        <v>https://www.lyellcollection.org/toc/sp/448/1</v>
      </c>
      <c r="H150" s="110" t="s">
        <v>70</v>
      </c>
      <c r="I150" s="27" t="s">
        <v>2912</v>
      </c>
      <c r="J150" s="23" t="s">
        <v>71</v>
      </c>
      <c r="K150" s="102">
        <v>120</v>
      </c>
      <c r="L150" s="86" t="s">
        <v>415</v>
      </c>
    </row>
    <row r="151" spans="1:12" s="41" customFormat="1" ht="31.2" customHeight="1" x14ac:dyDescent="0.2">
      <c r="A151" s="106" t="s">
        <v>451</v>
      </c>
      <c r="B151" s="107" t="s">
        <v>12</v>
      </c>
      <c r="C151" s="108" t="s">
        <v>452</v>
      </c>
      <c r="D151" s="23">
        <v>2017</v>
      </c>
      <c r="E151" s="84" t="s">
        <v>14</v>
      </c>
      <c r="F151" s="23" t="s">
        <v>453</v>
      </c>
      <c r="G151" s="109" t="str">
        <f>HYPERLINK("https://www.lyellcollection.org/toc/sp/447/1")</f>
        <v>https://www.lyellcollection.org/toc/sp/447/1</v>
      </c>
      <c r="H151" s="110" t="s">
        <v>70</v>
      </c>
      <c r="I151" s="23" t="s">
        <v>83</v>
      </c>
      <c r="J151" s="23" t="s">
        <v>71</v>
      </c>
      <c r="K151" s="102">
        <v>120</v>
      </c>
      <c r="L151" s="86" t="s">
        <v>415</v>
      </c>
    </row>
    <row r="152" spans="1:12" s="41" customFormat="1" ht="31.2" customHeight="1" x14ac:dyDescent="0.2">
      <c r="A152" s="111" t="s">
        <v>454</v>
      </c>
      <c r="B152" s="107" t="s">
        <v>12</v>
      </c>
      <c r="C152" s="106" t="s">
        <v>455</v>
      </c>
      <c r="D152" s="23">
        <v>2017</v>
      </c>
      <c r="E152" s="84" t="s">
        <v>14</v>
      </c>
      <c r="F152" s="105" t="s">
        <v>456</v>
      </c>
      <c r="G152" s="109" t="str">
        <f>HYPERLINK("https://www.lyellcollection.org/toc/sp/446/1")</f>
        <v>https://www.lyellcollection.org/toc/sp/446/1</v>
      </c>
      <c r="H152" s="110" t="s">
        <v>70</v>
      </c>
      <c r="I152" s="27" t="s">
        <v>2912</v>
      </c>
      <c r="J152" s="23" t="s">
        <v>71</v>
      </c>
      <c r="K152" s="102">
        <v>110</v>
      </c>
      <c r="L152" s="86" t="s">
        <v>415</v>
      </c>
    </row>
    <row r="153" spans="1:12" s="41" customFormat="1" ht="31.2" customHeight="1" x14ac:dyDescent="0.2">
      <c r="A153" s="111" t="s">
        <v>457</v>
      </c>
      <c r="B153" s="107" t="s">
        <v>12</v>
      </c>
      <c r="C153" s="106" t="s">
        <v>458</v>
      </c>
      <c r="D153" s="23">
        <v>2017</v>
      </c>
      <c r="E153" s="84" t="s">
        <v>14</v>
      </c>
      <c r="F153" s="105" t="s">
        <v>459</v>
      </c>
      <c r="G153" s="109" t="str">
        <f>HYPERLINK("https://www.lyellcollection.org/toc/sp/445/1")</f>
        <v>https://www.lyellcollection.org/toc/sp/445/1</v>
      </c>
      <c r="H153" s="110" t="s">
        <v>70</v>
      </c>
      <c r="I153" s="27" t="s">
        <v>2912</v>
      </c>
      <c r="J153" s="23" t="s">
        <v>71</v>
      </c>
      <c r="K153" s="102">
        <v>110</v>
      </c>
      <c r="L153" s="86" t="s">
        <v>415</v>
      </c>
    </row>
    <row r="154" spans="1:12" s="41" customFormat="1" ht="31.2" customHeight="1" x14ac:dyDescent="0.2">
      <c r="A154" s="111" t="s">
        <v>460</v>
      </c>
      <c r="B154" s="107" t="s">
        <v>12</v>
      </c>
      <c r="C154" s="106" t="s">
        <v>461</v>
      </c>
      <c r="D154" s="23">
        <v>2017</v>
      </c>
      <c r="E154" s="84" t="s">
        <v>14</v>
      </c>
      <c r="F154" s="105" t="s">
        <v>462</v>
      </c>
      <c r="G154" s="109" t="str">
        <f>HYPERLINK("https://www.lyellcollection.org/toc/sp/444/1")</f>
        <v>https://www.lyellcollection.org/toc/sp/444/1</v>
      </c>
      <c r="H154" s="110" t="s">
        <v>70</v>
      </c>
      <c r="I154" s="27" t="s">
        <v>2912</v>
      </c>
      <c r="J154" s="23" t="s">
        <v>71</v>
      </c>
      <c r="K154" s="102">
        <v>120</v>
      </c>
      <c r="L154" s="86" t="s">
        <v>415</v>
      </c>
    </row>
    <row r="155" spans="1:12" s="41" customFormat="1" ht="31.2" customHeight="1" x14ac:dyDescent="0.2">
      <c r="A155" s="111" t="s">
        <v>463</v>
      </c>
      <c r="B155" s="107" t="s">
        <v>12</v>
      </c>
      <c r="C155" s="106" t="s">
        <v>464</v>
      </c>
      <c r="D155" s="23">
        <v>2017</v>
      </c>
      <c r="E155" s="84" t="s">
        <v>14</v>
      </c>
      <c r="F155" s="105" t="s">
        <v>465</v>
      </c>
      <c r="G155" s="109" t="str">
        <f>HYPERLINK("https://www.lyellcollection.org/toc/sp/443/1")</f>
        <v>https://www.lyellcollection.org/toc/sp/443/1</v>
      </c>
      <c r="H155" s="110" t="s">
        <v>70</v>
      </c>
      <c r="I155" s="27" t="s">
        <v>2912</v>
      </c>
      <c r="J155" s="23" t="s">
        <v>71</v>
      </c>
      <c r="K155" s="102">
        <v>100</v>
      </c>
      <c r="L155" s="86" t="s">
        <v>415</v>
      </c>
    </row>
    <row r="156" spans="1:12" s="41" customFormat="1" ht="31.2" customHeight="1" x14ac:dyDescent="0.2">
      <c r="A156" s="111" t="s">
        <v>466</v>
      </c>
      <c r="B156" s="107" t="s">
        <v>12</v>
      </c>
      <c r="C156" s="106" t="s">
        <v>467</v>
      </c>
      <c r="D156" s="23">
        <v>2017</v>
      </c>
      <c r="E156" s="84" t="s">
        <v>14</v>
      </c>
      <c r="F156" s="23" t="s">
        <v>468</v>
      </c>
      <c r="G156" s="109" t="str">
        <f>HYPERLINK("https://www.lyellcollection.org/toc/sp/442/1")</f>
        <v>https://www.lyellcollection.org/toc/sp/442/1</v>
      </c>
      <c r="H156" s="110" t="s">
        <v>70</v>
      </c>
      <c r="I156" s="27" t="s">
        <v>2912</v>
      </c>
      <c r="J156" s="23" t="s">
        <v>71</v>
      </c>
      <c r="K156" s="102">
        <v>120</v>
      </c>
      <c r="L156" s="86" t="s">
        <v>415</v>
      </c>
    </row>
    <row r="157" spans="1:12" s="41" customFormat="1" ht="31.2" customHeight="1" x14ac:dyDescent="0.2">
      <c r="A157" s="106" t="s">
        <v>469</v>
      </c>
      <c r="B157" s="107" t="s">
        <v>12</v>
      </c>
      <c r="C157" s="106" t="s">
        <v>470</v>
      </c>
      <c r="D157" s="23">
        <v>2017</v>
      </c>
      <c r="E157" s="84" t="s">
        <v>14</v>
      </c>
      <c r="F157" s="105" t="s">
        <v>471</v>
      </c>
      <c r="G157" s="109" t="str">
        <f>HYPERLINK("https://www.lyellcollection.org/toc/sp/441/1")</f>
        <v>https://www.lyellcollection.org/toc/sp/441/1</v>
      </c>
      <c r="H157" s="110" t="s">
        <v>70</v>
      </c>
      <c r="I157" s="27" t="s">
        <v>2912</v>
      </c>
      <c r="J157" s="23" t="s">
        <v>71</v>
      </c>
      <c r="K157" s="102">
        <v>90</v>
      </c>
      <c r="L157" s="86" t="s">
        <v>415</v>
      </c>
    </row>
    <row r="158" spans="1:12" s="41" customFormat="1" ht="31.2" customHeight="1" x14ac:dyDescent="0.2">
      <c r="A158" s="106" t="s">
        <v>472</v>
      </c>
      <c r="B158" s="107" t="s">
        <v>12</v>
      </c>
      <c r="C158" s="106" t="s">
        <v>473</v>
      </c>
      <c r="D158" s="23">
        <v>2017</v>
      </c>
      <c r="E158" s="84" t="s">
        <v>14</v>
      </c>
      <c r="F158" s="105" t="s">
        <v>474</v>
      </c>
      <c r="G158" s="109" t="str">
        <f>HYPERLINK("https://www.lyellcollection.org/toc/sp/439/1")</f>
        <v>https://www.lyellcollection.org/toc/sp/439/1</v>
      </c>
      <c r="H158" s="110" t="s">
        <v>70</v>
      </c>
      <c r="I158" s="27" t="s">
        <v>2912</v>
      </c>
      <c r="J158" s="23" t="s">
        <v>71</v>
      </c>
      <c r="K158" s="102">
        <v>120</v>
      </c>
      <c r="L158" s="86" t="s">
        <v>415</v>
      </c>
    </row>
    <row r="159" spans="1:12" s="41" customFormat="1" ht="31.2" customHeight="1" x14ac:dyDescent="0.2">
      <c r="A159" s="111" t="s">
        <v>475</v>
      </c>
      <c r="B159" s="107" t="s">
        <v>12</v>
      </c>
      <c r="C159" s="106" t="s">
        <v>476</v>
      </c>
      <c r="D159" s="23">
        <v>2017</v>
      </c>
      <c r="E159" s="84" t="s">
        <v>14</v>
      </c>
      <c r="F159" s="105" t="s">
        <v>477</v>
      </c>
      <c r="G159" s="109" t="str">
        <f>HYPERLINK("https://www.lyellcollection.org/toc/sp/438/1")</f>
        <v>https://www.lyellcollection.org/toc/sp/438/1</v>
      </c>
      <c r="H159" s="110" t="s">
        <v>70</v>
      </c>
      <c r="I159" s="27" t="s">
        <v>2912</v>
      </c>
      <c r="J159" s="23" t="s">
        <v>71</v>
      </c>
      <c r="K159" s="102">
        <v>90</v>
      </c>
      <c r="L159" s="86" t="s">
        <v>415</v>
      </c>
    </row>
    <row r="160" spans="1:12" s="41" customFormat="1" ht="31.2" customHeight="1" x14ac:dyDescent="0.2">
      <c r="A160" s="111" t="s">
        <v>478</v>
      </c>
      <c r="B160" s="107" t="s">
        <v>12</v>
      </c>
      <c r="C160" s="106" t="s">
        <v>479</v>
      </c>
      <c r="D160" s="23">
        <v>2017</v>
      </c>
      <c r="E160" s="84" t="s">
        <v>14</v>
      </c>
      <c r="F160" s="105" t="s">
        <v>480</v>
      </c>
      <c r="G160" s="109" t="str">
        <f>HYPERLINK("https://www.lyellcollection.org/toc/sp/437/1")</f>
        <v>https://www.lyellcollection.org/toc/sp/437/1</v>
      </c>
      <c r="H160" s="110" t="s">
        <v>70</v>
      </c>
      <c r="I160" s="27" t="s">
        <v>2912</v>
      </c>
      <c r="J160" s="23" t="s">
        <v>71</v>
      </c>
      <c r="K160" s="102">
        <v>100</v>
      </c>
      <c r="L160" s="86" t="s">
        <v>415</v>
      </c>
    </row>
    <row r="161" spans="1:29" s="41" customFormat="1" ht="31.2" customHeight="1" x14ac:dyDescent="0.2">
      <c r="A161" s="111" t="s">
        <v>481</v>
      </c>
      <c r="B161" s="107" t="s">
        <v>12</v>
      </c>
      <c r="C161" s="106" t="s">
        <v>482</v>
      </c>
      <c r="D161" s="23">
        <v>2017</v>
      </c>
      <c r="E161" s="84" t="s">
        <v>14</v>
      </c>
      <c r="F161" s="105" t="s">
        <v>483</v>
      </c>
      <c r="G161" s="109" t="str">
        <f>HYPERLINK("https://www.lyellcollection.org/toc/sp/433/1")</f>
        <v>https://www.lyellcollection.org/toc/sp/433/1</v>
      </c>
      <c r="H161" s="110" t="s">
        <v>70</v>
      </c>
      <c r="I161" s="27" t="s">
        <v>2912</v>
      </c>
      <c r="J161" s="23" t="s">
        <v>71</v>
      </c>
      <c r="K161" s="102">
        <v>100</v>
      </c>
      <c r="L161" s="86" t="s">
        <v>415</v>
      </c>
    </row>
    <row r="162" spans="1:29" s="41" customFormat="1" ht="31.2" customHeight="1" x14ac:dyDescent="0.2">
      <c r="A162" s="106" t="s">
        <v>484</v>
      </c>
      <c r="B162" s="107" t="s">
        <v>12</v>
      </c>
      <c r="C162" s="106" t="s">
        <v>485</v>
      </c>
      <c r="D162" s="23">
        <v>2017</v>
      </c>
      <c r="E162" s="84" t="s">
        <v>14</v>
      </c>
      <c r="F162" s="105" t="s">
        <v>486</v>
      </c>
      <c r="G162" s="109" t="str">
        <f>HYPERLINK("https://www.lyellcollection.org/toc/sp/432/1")</f>
        <v>https://www.lyellcollection.org/toc/sp/432/1</v>
      </c>
      <c r="H162" s="110" t="s">
        <v>70</v>
      </c>
      <c r="I162" s="27" t="s">
        <v>2912</v>
      </c>
      <c r="J162" s="23" t="s">
        <v>71</v>
      </c>
      <c r="K162" s="102">
        <v>100</v>
      </c>
      <c r="L162" s="86" t="s">
        <v>415</v>
      </c>
    </row>
    <row r="163" spans="1:29" s="41" customFormat="1" ht="31.2" customHeight="1" x14ac:dyDescent="0.2">
      <c r="A163" s="106" t="s">
        <v>487</v>
      </c>
      <c r="B163" s="107" t="s">
        <v>12</v>
      </c>
      <c r="C163" s="106" t="s">
        <v>488</v>
      </c>
      <c r="D163" s="23">
        <v>2017</v>
      </c>
      <c r="E163" s="84" t="s">
        <v>14</v>
      </c>
      <c r="F163" s="105" t="s">
        <v>489</v>
      </c>
      <c r="G163" s="109" t="str">
        <f>HYPERLINK("https://www.lyellcollection.org/toc/sp/428/1")</f>
        <v>https://www.lyellcollection.org/toc/sp/428/1</v>
      </c>
      <c r="H163" s="110" t="s">
        <v>70</v>
      </c>
      <c r="I163" s="27" t="s">
        <v>2912</v>
      </c>
      <c r="J163" s="23" t="s">
        <v>71</v>
      </c>
      <c r="K163" s="102">
        <v>120</v>
      </c>
      <c r="L163" s="86" t="s">
        <v>415</v>
      </c>
    </row>
    <row r="164" spans="1:29" s="41" customFormat="1" ht="31.2" customHeight="1" x14ac:dyDescent="0.2">
      <c r="A164" s="106" t="s">
        <v>490</v>
      </c>
      <c r="B164" s="107" t="s">
        <v>12</v>
      </c>
      <c r="C164" s="106" t="s">
        <v>491</v>
      </c>
      <c r="D164" s="23">
        <v>2017</v>
      </c>
      <c r="E164" s="84" t="s">
        <v>14</v>
      </c>
      <c r="F164" s="105" t="s">
        <v>492</v>
      </c>
      <c r="G164" s="109" t="str">
        <f>HYPERLINK("https://www.lyellcollection.org/toc/sp/427/1")</f>
        <v>https://www.lyellcollection.org/toc/sp/427/1</v>
      </c>
      <c r="H164" s="110" t="s">
        <v>70</v>
      </c>
      <c r="I164" s="27" t="s">
        <v>2912</v>
      </c>
      <c r="J164" s="23" t="s">
        <v>71</v>
      </c>
      <c r="K164" s="102">
        <v>120</v>
      </c>
      <c r="L164" s="86" t="s">
        <v>415</v>
      </c>
    </row>
    <row r="165" spans="1:29" s="41" customFormat="1" ht="31.2" customHeight="1" x14ac:dyDescent="0.2">
      <c r="A165" s="106" t="s">
        <v>493</v>
      </c>
      <c r="B165" s="107" t="s">
        <v>12</v>
      </c>
      <c r="C165" s="106" t="s">
        <v>494</v>
      </c>
      <c r="D165" s="23">
        <v>2017</v>
      </c>
      <c r="E165" s="84" t="s">
        <v>14</v>
      </c>
      <c r="F165" s="84" t="s">
        <v>495</v>
      </c>
      <c r="G165" s="109" t="str">
        <f>HYPERLINK("https://www.lyellcollection.org/toc/sp/408/1")</f>
        <v>https://www.lyellcollection.org/toc/sp/408/1</v>
      </c>
      <c r="H165" s="110" t="s">
        <v>70</v>
      </c>
      <c r="I165" s="27" t="s">
        <v>2912</v>
      </c>
      <c r="J165" s="23" t="s">
        <v>71</v>
      </c>
      <c r="K165" s="102">
        <v>90</v>
      </c>
      <c r="L165" s="86" t="s">
        <v>415</v>
      </c>
    </row>
    <row r="166" spans="1:29" s="41" customFormat="1" ht="31.2" customHeight="1" x14ac:dyDescent="0.2">
      <c r="A166" s="111" t="s">
        <v>496</v>
      </c>
      <c r="B166" s="113" t="s">
        <v>39</v>
      </c>
      <c r="C166" s="106" t="s">
        <v>497</v>
      </c>
      <c r="D166" s="23">
        <v>2017</v>
      </c>
      <c r="E166" s="84" t="s">
        <v>14</v>
      </c>
      <c r="F166" s="84" t="s">
        <v>498</v>
      </c>
      <c r="G166" s="109" t="str">
        <f>HYPERLINK("https://www.lyellcollection.org/toc/mem/48/1")</f>
        <v>https://www.lyellcollection.org/toc/mem/48/1</v>
      </c>
      <c r="H166" s="110" t="s">
        <v>70</v>
      </c>
      <c r="I166" s="27" t="s">
        <v>2912</v>
      </c>
      <c r="J166" s="23" t="s">
        <v>71</v>
      </c>
      <c r="K166" s="102">
        <v>160</v>
      </c>
      <c r="L166" s="53"/>
    </row>
    <row r="167" spans="1:29" s="41" customFormat="1" ht="31.2" customHeight="1" x14ac:dyDescent="0.2">
      <c r="A167" s="111" t="s">
        <v>499</v>
      </c>
      <c r="B167" s="113" t="s">
        <v>39</v>
      </c>
      <c r="C167" s="106" t="s">
        <v>500</v>
      </c>
      <c r="D167" s="23">
        <v>2017</v>
      </c>
      <c r="E167" s="84" t="s">
        <v>14</v>
      </c>
      <c r="F167" s="84" t="s">
        <v>501</v>
      </c>
      <c r="G167" s="109" t="str">
        <f>HYPERLINK("https://www.lyellcollection.org/toc/mem/47/1")</f>
        <v>https://www.lyellcollection.org/toc/mem/47/1</v>
      </c>
      <c r="H167" s="110" t="s">
        <v>70</v>
      </c>
      <c r="I167" s="27" t="s">
        <v>2912</v>
      </c>
      <c r="J167" s="23" t="s">
        <v>71</v>
      </c>
      <c r="K167" s="102">
        <v>100</v>
      </c>
      <c r="L167" s="53"/>
    </row>
    <row r="168" spans="1:29" s="41" customFormat="1" ht="31.2" customHeight="1" x14ac:dyDescent="0.2">
      <c r="A168" s="121" t="s">
        <v>502</v>
      </c>
      <c r="B168" s="122" t="s">
        <v>76</v>
      </c>
      <c r="C168" s="122" t="s">
        <v>503</v>
      </c>
      <c r="D168" s="123">
        <v>2016</v>
      </c>
      <c r="E168" s="124" t="s">
        <v>14</v>
      </c>
      <c r="F168" s="124" t="s">
        <v>504</v>
      </c>
      <c r="G168" s="177" t="s">
        <v>185</v>
      </c>
      <c r="H168" s="95" t="s">
        <v>186</v>
      </c>
      <c r="I168" s="27" t="s">
        <v>187</v>
      </c>
      <c r="J168" s="23" t="s">
        <v>71</v>
      </c>
      <c r="K168" s="102">
        <v>120</v>
      </c>
      <c r="L168" s="53"/>
      <c r="M168" s="81"/>
      <c r="N168" s="81"/>
      <c r="O168" s="81"/>
      <c r="P168" s="81"/>
      <c r="Q168" s="81"/>
      <c r="R168" s="81"/>
      <c r="S168" s="81"/>
      <c r="T168" s="81"/>
      <c r="U168" s="81"/>
      <c r="V168" s="81"/>
      <c r="W168" s="81"/>
      <c r="X168" s="81"/>
      <c r="Y168" s="81"/>
      <c r="Z168" s="81"/>
      <c r="AA168" s="81"/>
      <c r="AB168" s="81"/>
      <c r="AC168" s="81"/>
    </row>
    <row r="169" spans="1:29" s="41" customFormat="1" ht="31.2" customHeight="1" x14ac:dyDescent="0.2">
      <c r="A169" s="106" t="s">
        <v>511</v>
      </c>
      <c r="B169" s="107" t="s">
        <v>43</v>
      </c>
      <c r="C169" s="116" t="s">
        <v>512</v>
      </c>
      <c r="D169" s="23">
        <v>2016</v>
      </c>
      <c r="E169" s="84" t="s">
        <v>14</v>
      </c>
      <c r="F169" s="120" t="s">
        <v>513</v>
      </c>
      <c r="G169" s="109" t="str">
        <f>HYPERLINK("https://www.lyellcollection.org/toc/egsp/27/1")</f>
        <v>https://www.lyellcollection.org/toc/egsp/27/1</v>
      </c>
      <c r="H169" s="110" t="s">
        <v>70</v>
      </c>
      <c r="I169" s="27" t="s">
        <v>2912</v>
      </c>
      <c r="J169" s="23" t="s">
        <v>71</v>
      </c>
      <c r="K169" s="102">
        <v>90</v>
      </c>
      <c r="L169" s="53"/>
    </row>
    <row r="170" spans="1:29" s="41" customFormat="1" ht="31.2" customHeight="1" x14ac:dyDescent="0.2">
      <c r="A170" s="111" t="s">
        <v>514</v>
      </c>
      <c r="B170" s="107" t="s">
        <v>12</v>
      </c>
      <c r="C170" s="119" t="s">
        <v>515</v>
      </c>
      <c r="D170" s="23">
        <v>2016</v>
      </c>
      <c r="E170" s="84" t="s">
        <v>14</v>
      </c>
      <c r="F170" s="105" t="s">
        <v>516</v>
      </c>
      <c r="G170" s="109" t="str">
        <f>HYPERLINK("https://www.lyellcollection.org/toc/sp/436/1")</f>
        <v>https://www.lyellcollection.org/toc/sp/436/1</v>
      </c>
      <c r="H170" s="110" t="s">
        <v>70</v>
      </c>
      <c r="I170" s="27" t="s">
        <v>2912</v>
      </c>
      <c r="J170" s="23" t="s">
        <v>71</v>
      </c>
      <c r="K170" s="102">
        <v>90</v>
      </c>
      <c r="L170" s="86" t="s">
        <v>415</v>
      </c>
    </row>
    <row r="171" spans="1:29" s="41" customFormat="1" ht="31.2" customHeight="1" x14ac:dyDescent="0.2">
      <c r="A171" s="111" t="s">
        <v>517</v>
      </c>
      <c r="B171" s="107" t="s">
        <v>12</v>
      </c>
      <c r="C171" s="106" t="s">
        <v>518</v>
      </c>
      <c r="D171" s="23">
        <v>2016</v>
      </c>
      <c r="E171" s="84" t="s">
        <v>14</v>
      </c>
      <c r="F171" s="105" t="s">
        <v>519</v>
      </c>
      <c r="G171" s="109" t="str">
        <f>HYPERLINK("https://www.lyellcollection.org/toc/sp/434/1")</f>
        <v>https://www.lyellcollection.org/toc/sp/434/1</v>
      </c>
      <c r="H171" s="110" t="s">
        <v>70</v>
      </c>
      <c r="I171" s="27" t="s">
        <v>2912</v>
      </c>
      <c r="J171" s="23" t="s">
        <v>71</v>
      </c>
      <c r="K171" s="102">
        <v>100</v>
      </c>
      <c r="L171" s="86" t="s">
        <v>415</v>
      </c>
    </row>
    <row r="172" spans="1:29" s="41" customFormat="1" ht="31.2" customHeight="1" x14ac:dyDescent="0.2">
      <c r="A172" s="106" t="s">
        <v>520</v>
      </c>
      <c r="B172" s="107" t="s">
        <v>12</v>
      </c>
      <c r="C172" s="106" t="s">
        <v>521</v>
      </c>
      <c r="D172" s="23">
        <v>2016</v>
      </c>
      <c r="E172" s="84" t="s">
        <v>14</v>
      </c>
      <c r="F172" s="105" t="s">
        <v>522</v>
      </c>
      <c r="G172" s="109" t="str">
        <f>HYPERLINK("https://www.lyellcollection.org/toc/sp/431/1")</f>
        <v>https://www.lyellcollection.org/toc/sp/431/1</v>
      </c>
      <c r="H172" s="110" t="s">
        <v>70</v>
      </c>
      <c r="I172" s="27" t="s">
        <v>2912</v>
      </c>
      <c r="J172" s="23" t="s">
        <v>71</v>
      </c>
      <c r="K172" s="102">
        <v>120</v>
      </c>
      <c r="L172" s="86" t="s">
        <v>415</v>
      </c>
    </row>
    <row r="173" spans="1:29" s="41" customFormat="1" ht="31.2" customHeight="1" x14ac:dyDescent="0.2">
      <c r="A173" s="106" t="s">
        <v>523</v>
      </c>
      <c r="B173" s="107" t="s">
        <v>12</v>
      </c>
      <c r="C173" s="106" t="s">
        <v>524</v>
      </c>
      <c r="D173" s="23">
        <v>2016</v>
      </c>
      <c r="E173" s="84" t="s">
        <v>14</v>
      </c>
      <c r="F173" s="105" t="s">
        <v>525</v>
      </c>
      <c r="G173" s="109" t="str">
        <f>HYPERLINK("https://www.lyellcollection.org/toc/sp/430/1")</f>
        <v>https://www.lyellcollection.org/toc/sp/430/1</v>
      </c>
      <c r="H173" s="110" t="s">
        <v>70</v>
      </c>
      <c r="I173" s="27" t="s">
        <v>2912</v>
      </c>
      <c r="J173" s="23" t="s">
        <v>71</v>
      </c>
      <c r="K173" s="102">
        <v>110</v>
      </c>
      <c r="L173" s="86" t="s">
        <v>415</v>
      </c>
    </row>
    <row r="174" spans="1:29" s="41" customFormat="1" ht="31.2" customHeight="1" x14ac:dyDescent="0.2">
      <c r="A174" s="106" t="s">
        <v>526</v>
      </c>
      <c r="B174" s="107" t="s">
        <v>12</v>
      </c>
      <c r="C174" s="106" t="s">
        <v>527</v>
      </c>
      <c r="D174" s="23">
        <v>2016</v>
      </c>
      <c r="E174" s="84" t="s">
        <v>14</v>
      </c>
      <c r="F174" s="105" t="s">
        <v>528</v>
      </c>
      <c r="G174" s="109" t="str">
        <f>HYPERLINK("https://www.lyellcollection.org/toc/sp/429/1")</f>
        <v>https://www.lyellcollection.org/toc/sp/429/1</v>
      </c>
      <c r="H174" s="110" t="s">
        <v>70</v>
      </c>
      <c r="I174" s="27" t="s">
        <v>2912</v>
      </c>
      <c r="J174" s="23" t="s">
        <v>71</v>
      </c>
      <c r="K174" s="102">
        <v>100</v>
      </c>
      <c r="L174" s="86" t="s">
        <v>415</v>
      </c>
    </row>
    <row r="175" spans="1:29" s="41" customFormat="1" ht="31.2" customHeight="1" x14ac:dyDescent="0.2">
      <c r="A175" s="106" t="s">
        <v>529</v>
      </c>
      <c r="B175" s="107" t="s">
        <v>12</v>
      </c>
      <c r="C175" s="106" t="s">
        <v>530</v>
      </c>
      <c r="D175" s="23">
        <v>2016</v>
      </c>
      <c r="E175" s="84" t="s">
        <v>14</v>
      </c>
      <c r="F175" s="105" t="s">
        <v>531</v>
      </c>
      <c r="G175" s="109" t="str">
        <f>HYPERLINK("https://www.lyellcollection.org/toc/sp/426/1")</f>
        <v>https://www.lyellcollection.org/toc/sp/426/1</v>
      </c>
      <c r="H175" s="110" t="s">
        <v>70</v>
      </c>
      <c r="I175" s="27" t="s">
        <v>2912</v>
      </c>
      <c r="J175" s="23" t="s">
        <v>71</v>
      </c>
      <c r="K175" s="102">
        <v>140</v>
      </c>
      <c r="L175" s="86" t="s">
        <v>415</v>
      </c>
    </row>
    <row r="176" spans="1:29" s="41" customFormat="1" ht="31.2" customHeight="1" x14ac:dyDescent="0.2">
      <c r="A176" s="106" t="s">
        <v>532</v>
      </c>
      <c r="B176" s="107" t="s">
        <v>12</v>
      </c>
      <c r="C176" s="106" t="s">
        <v>533</v>
      </c>
      <c r="D176" s="23">
        <v>2016</v>
      </c>
      <c r="E176" s="84" t="s">
        <v>14</v>
      </c>
      <c r="F176" s="105" t="s">
        <v>534</v>
      </c>
      <c r="G176" s="109" t="str">
        <f>HYPERLINK("https://www.lyellcollection.org/toc/sp/425/1")</f>
        <v>https://www.lyellcollection.org/toc/sp/425/1</v>
      </c>
      <c r="H176" s="110" t="s">
        <v>70</v>
      </c>
      <c r="I176" s="27" t="s">
        <v>2912</v>
      </c>
      <c r="J176" s="23" t="s">
        <v>71</v>
      </c>
      <c r="K176" s="102">
        <v>100</v>
      </c>
      <c r="L176" s="86" t="s">
        <v>415</v>
      </c>
    </row>
    <row r="177" spans="1:29" s="41" customFormat="1" ht="31.2" customHeight="1" x14ac:dyDescent="0.2">
      <c r="A177" s="106" t="s">
        <v>535</v>
      </c>
      <c r="B177" s="107" t="s">
        <v>12</v>
      </c>
      <c r="C177" s="106" t="s">
        <v>536</v>
      </c>
      <c r="D177" s="23">
        <v>2016</v>
      </c>
      <c r="E177" s="84" t="s">
        <v>14</v>
      </c>
      <c r="F177" s="105" t="s">
        <v>537</v>
      </c>
      <c r="G177" s="109" t="str">
        <f>HYPERLINK("https://www.lyellcollection.org/toc/sp/424/1")</f>
        <v>https://www.lyellcollection.org/toc/sp/424/1</v>
      </c>
      <c r="H177" s="110" t="s">
        <v>70</v>
      </c>
      <c r="I177" s="27" t="s">
        <v>2912</v>
      </c>
      <c r="J177" s="23" t="s">
        <v>71</v>
      </c>
      <c r="K177" s="102">
        <v>110</v>
      </c>
      <c r="L177" s="86" t="s">
        <v>415</v>
      </c>
    </row>
    <row r="178" spans="1:29" s="41" customFormat="1" ht="31.2" customHeight="1" x14ac:dyDescent="0.2">
      <c r="A178" s="106" t="s">
        <v>538</v>
      </c>
      <c r="B178" s="107" t="s">
        <v>12</v>
      </c>
      <c r="C178" s="106" t="s">
        <v>539</v>
      </c>
      <c r="D178" s="23">
        <v>2016</v>
      </c>
      <c r="E178" s="84" t="s">
        <v>14</v>
      </c>
      <c r="F178" s="105" t="s">
        <v>540</v>
      </c>
      <c r="G178" s="109" t="str">
        <f>HYPERLINK("https://www.lyellcollection.org/toc/sp/423/1")</f>
        <v>https://www.lyellcollection.org/toc/sp/423/1</v>
      </c>
      <c r="H178" s="110" t="s">
        <v>70</v>
      </c>
      <c r="I178" s="27" t="s">
        <v>2912</v>
      </c>
      <c r="J178" s="23" t="s">
        <v>71</v>
      </c>
      <c r="K178" s="102">
        <v>130</v>
      </c>
      <c r="L178" s="86" t="s">
        <v>415</v>
      </c>
    </row>
    <row r="179" spans="1:29" s="41" customFormat="1" ht="31.2" customHeight="1" x14ac:dyDescent="0.2">
      <c r="A179" s="106" t="s">
        <v>541</v>
      </c>
      <c r="B179" s="107" t="s">
        <v>12</v>
      </c>
      <c r="C179" s="106" t="s">
        <v>542</v>
      </c>
      <c r="D179" s="23">
        <v>2016</v>
      </c>
      <c r="E179" s="84" t="s">
        <v>14</v>
      </c>
      <c r="F179" s="105" t="s">
        <v>543</v>
      </c>
      <c r="G179" s="109" t="str">
        <f>HYPERLINK("https://www.lyellcollection.org/toc/sp/420/1")</f>
        <v>https://www.lyellcollection.org/toc/sp/420/1</v>
      </c>
      <c r="H179" s="110" t="s">
        <v>70</v>
      </c>
      <c r="I179" s="27" t="s">
        <v>2912</v>
      </c>
      <c r="J179" s="23" t="s">
        <v>71</v>
      </c>
      <c r="K179" s="102">
        <v>120</v>
      </c>
      <c r="L179" s="86" t="s">
        <v>415</v>
      </c>
      <c r="AB179" s="117"/>
      <c r="AC179" s="117"/>
    </row>
    <row r="180" spans="1:29" s="41" customFormat="1" ht="31.2" customHeight="1" x14ac:dyDescent="0.2">
      <c r="A180" s="106" t="s">
        <v>544</v>
      </c>
      <c r="B180" s="107" t="s">
        <v>12</v>
      </c>
      <c r="C180" s="106" t="s">
        <v>545</v>
      </c>
      <c r="D180" s="23">
        <v>2016</v>
      </c>
      <c r="E180" s="84" t="s">
        <v>14</v>
      </c>
      <c r="F180" s="105" t="s">
        <v>546</v>
      </c>
      <c r="G180" s="109" t="str">
        <f>HYPERLINK("https://www.lyellcollection.org/toc/sp/417/1")</f>
        <v>https://www.lyellcollection.org/toc/sp/417/1</v>
      </c>
      <c r="H180" s="110" t="s">
        <v>70</v>
      </c>
      <c r="I180" s="27" t="s">
        <v>2912</v>
      </c>
      <c r="J180" s="23" t="s">
        <v>71</v>
      </c>
      <c r="K180" s="102">
        <v>100</v>
      </c>
      <c r="L180" s="86" t="s">
        <v>415</v>
      </c>
    </row>
    <row r="181" spans="1:29" s="41" customFormat="1" ht="31.2" customHeight="1" x14ac:dyDescent="0.2">
      <c r="A181" s="106" t="s">
        <v>547</v>
      </c>
      <c r="B181" s="107" t="s">
        <v>12</v>
      </c>
      <c r="C181" s="106" t="s">
        <v>548</v>
      </c>
      <c r="D181" s="23">
        <v>2016</v>
      </c>
      <c r="E181" s="84" t="s">
        <v>14</v>
      </c>
      <c r="F181" s="105" t="s">
        <v>549</v>
      </c>
      <c r="G181" s="109" t="str">
        <f>HYPERLINK("https://www.lyellcollection.org/toc/sp/416/1")</f>
        <v>https://www.lyellcollection.org/toc/sp/416/1</v>
      </c>
      <c r="H181" s="110" t="s">
        <v>70</v>
      </c>
      <c r="I181" s="27" t="s">
        <v>2912</v>
      </c>
      <c r="J181" s="23" t="s">
        <v>71</v>
      </c>
      <c r="K181" s="102">
        <v>120</v>
      </c>
      <c r="L181" s="86" t="s">
        <v>415</v>
      </c>
    </row>
    <row r="182" spans="1:29" s="41" customFormat="1" ht="31.2" customHeight="1" x14ac:dyDescent="0.2">
      <c r="A182" s="106" t="s">
        <v>550</v>
      </c>
      <c r="B182" s="107" t="s">
        <v>12</v>
      </c>
      <c r="C182" s="106" t="s">
        <v>551</v>
      </c>
      <c r="D182" s="23">
        <v>2016</v>
      </c>
      <c r="E182" s="84" t="s">
        <v>14</v>
      </c>
      <c r="F182" s="84" t="s">
        <v>552</v>
      </c>
      <c r="G182" s="109" t="str">
        <f>HYPERLINK("https://www.lyellcollection.org/toc/sp/411/1")</f>
        <v>https://www.lyellcollection.org/toc/sp/411/1</v>
      </c>
      <c r="H182" s="110" t="s">
        <v>70</v>
      </c>
      <c r="I182" s="27" t="s">
        <v>2912</v>
      </c>
      <c r="J182" s="23" t="s">
        <v>71</v>
      </c>
      <c r="K182" s="102">
        <v>110</v>
      </c>
      <c r="L182" s="86" t="s">
        <v>415</v>
      </c>
    </row>
    <row r="183" spans="1:29" s="41" customFormat="1" ht="31.2" customHeight="1" x14ac:dyDescent="0.2">
      <c r="A183" s="111" t="s">
        <v>553</v>
      </c>
      <c r="B183" s="113" t="s">
        <v>39</v>
      </c>
      <c r="C183" s="106" t="s">
        <v>554</v>
      </c>
      <c r="D183" s="23">
        <v>2016</v>
      </c>
      <c r="E183" s="84" t="s">
        <v>14</v>
      </c>
      <c r="F183" s="84" t="s">
        <v>555</v>
      </c>
      <c r="G183" s="109" t="str">
        <f>HYPERLINK("https://www.lyellcollection.org/toc/mem/46/1")</f>
        <v>https://www.lyellcollection.org/toc/mem/46/1</v>
      </c>
      <c r="H183" s="110" t="s">
        <v>70</v>
      </c>
      <c r="I183" s="27" t="s">
        <v>2912</v>
      </c>
      <c r="J183" s="23" t="s">
        <v>71</v>
      </c>
      <c r="K183" s="102">
        <v>140</v>
      </c>
      <c r="L183" s="53"/>
    </row>
    <row r="184" spans="1:29" s="41" customFormat="1" ht="31.2" customHeight="1" x14ac:dyDescent="0.2">
      <c r="A184" s="111" t="s">
        <v>505</v>
      </c>
      <c r="B184" s="106" t="s">
        <v>88</v>
      </c>
      <c r="C184" s="106" t="s">
        <v>506</v>
      </c>
      <c r="D184" s="23">
        <v>2016</v>
      </c>
      <c r="E184" s="84" t="s">
        <v>14</v>
      </c>
      <c r="F184" s="84" t="s">
        <v>507</v>
      </c>
      <c r="G184" s="177" t="s">
        <v>185</v>
      </c>
      <c r="H184" s="95" t="s">
        <v>186</v>
      </c>
      <c r="I184" s="27" t="s">
        <v>187</v>
      </c>
      <c r="J184" s="23" t="s">
        <v>71</v>
      </c>
      <c r="K184" s="102">
        <v>50</v>
      </c>
      <c r="L184" s="53"/>
    </row>
    <row r="185" spans="1:29" s="41" customFormat="1" ht="31.2" customHeight="1" x14ac:dyDescent="0.2">
      <c r="A185" s="111" t="s">
        <v>508</v>
      </c>
      <c r="B185" s="106" t="s">
        <v>88</v>
      </c>
      <c r="C185" s="106" t="s">
        <v>509</v>
      </c>
      <c r="D185" s="23">
        <v>2016</v>
      </c>
      <c r="E185" s="84" t="s">
        <v>14</v>
      </c>
      <c r="F185" s="84" t="s">
        <v>510</v>
      </c>
      <c r="G185" s="177" t="s">
        <v>185</v>
      </c>
      <c r="H185" s="95" t="s">
        <v>186</v>
      </c>
      <c r="I185" s="27" t="s">
        <v>187</v>
      </c>
      <c r="J185" s="23" t="s">
        <v>71</v>
      </c>
      <c r="K185" s="102">
        <v>100</v>
      </c>
      <c r="L185" s="53"/>
    </row>
    <row r="186" spans="1:29" s="41" customFormat="1" ht="31.2" customHeight="1" x14ac:dyDescent="0.2">
      <c r="A186" s="106" t="s">
        <v>556</v>
      </c>
      <c r="B186" s="107" t="s">
        <v>12</v>
      </c>
      <c r="C186" s="106" t="s">
        <v>557</v>
      </c>
      <c r="D186" s="23">
        <v>2015</v>
      </c>
      <c r="E186" s="84" t="s">
        <v>14</v>
      </c>
      <c r="F186" s="105" t="s">
        <v>558</v>
      </c>
      <c r="G186" s="109" t="str">
        <f>HYPERLINK("https://www.lyellcollection.org/toc/sp/422/1")</f>
        <v>https://www.lyellcollection.org/toc/sp/422/1</v>
      </c>
      <c r="H186" s="110" t="s">
        <v>70</v>
      </c>
      <c r="I186" s="27" t="s">
        <v>2912</v>
      </c>
      <c r="J186" s="23" t="s">
        <v>71</v>
      </c>
      <c r="K186" s="102">
        <v>100</v>
      </c>
      <c r="L186" s="86" t="s">
        <v>415</v>
      </c>
    </row>
    <row r="187" spans="1:29" s="41" customFormat="1" ht="31.2" customHeight="1" x14ac:dyDescent="0.2">
      <c r="A187" s="106" t="s">
        <v>559</v>
      </c>
      <c r="B187" s="107" t="s">
        <v>12</v>
      </c>
      <c r="C187" s="106" t="s">
        <v>560</v>
      </c>
      <c r="D187" s="23">
        <v>2015</v>
      </c>
      <c r="E187" s="84" t="s">
        <v>14</v>
      </c>
      <c r="F187" s="105" t="s">
        <v>561</v>
      </c>
      <c r="G187" s="109" t="str">
        <f>HYPERLINK("https://www.lyellcollection.org/toc/sp/421/1")</f>
        <v>https://www.lyellcollection.org/toc/sp/421/1</v>
      </c>
      <c r="H187" s="110" t="s">
        <v>70</v>
      </c>
      <c r="I187" s="27" t="s">
        <v>2912</v>
      </c>
      <c r="J187" s="23" t="s">
        <v>71</v>
      </c>
      <c r="K187" s="102">
        <v>100</v>
      </c>
      <c r="L187" s="86" t="s">
        <v>415</v>
      </c>
    </row>
    <row r="188" spans="1:29" s="41" customFormat="1" ht="31.2" customHeight="1" x14ac:dyDescent="0.2">
      <c r="A188" s="106" t="s">
        <v>562</v>
      </c>
      <c r="B188" s="107" t="s">
        <v>12</v>
      </c>
      <c r="C188" s="106" t="s">
        <v>563</v>
      </c>
      <c r="D188" s="23">
        <v>2015</v>
      </c>
      <c r="E188" s="84" t="s">
        <v>14</v>
      </c>
      <c r="F188" s="105" t="s">
        <v>564</v>
      </c>
      <c r="G188" s="109" t="str">
        <f>HYPERLINK("https://www.lyellcollection.org/toc/sp/419/1")</f>
        <v>https://www.lyellcollection.org/toc/sp/419/1</v>
      </c>
      <c r="H188" s="110" t="s">
        <v>70</v>
      </c>
      <c r="I188" s="27" t="s">
        <v>2912</v>
      </c>
      <c r="J188" s="23" t="s">
        <v>71</v>
      </c>
      <c r="K188" s="102">
        <v>85</v>
      </c>
      <c r="L188" s="86" t="s">
        <v>415</v>
      </c>
    </row>
    <row r="189" spans="1:29" s="41" customFormat="1" ht="31.2" customHeight="1" x14ac:dyDescent="0.2">
      <c r="A189" s="106" t="s">
        <v>565</v>
      </c>
      <c r="B189" s="107" t="s">
        <v>12</v>
      </c>
      <c r="C189" s="106" t="s">
        <v>566</v>
      </c>
      <c r="D189" s="23">
        <v>2015</v>
      </c>
      <c r="E189" s="84" t="s">
        <v>14</v>
      </c>
      <c r="F189" s="105" t="s">
        <v>567</v>
      </c>
      <c r="G189" s="109" t="str">
        <f>HYPERLINK("https://www.lyellcollection.org/toc/sp/418/1")</f>
        <v>https://www.lyellcollection.org/toc/sp/418/1</v>
      </c>
      <c r="H189" s="110" t="s">
        <v>70</v>
      </c>
      <c r="I189" s="27" t="s">
        <v>2912</v>
      </c>
      <c r="J189" s="23" t="s">
        <v>71</v>
      </c>
      <c r="K189" s="102">
        <v>90</v>
      </c>
      <c r="L189" s="86" t="s">
        <v>415</v>
      </c>
    </row>
    <row r="190" spans="1:29" s="41" customFormat="1" ht="31.2" customHeight="1" x14ac:dyDescent="0.2">
      <c r="A190" s="106" t="s">
        <v>568</v>
      </c>
      <c r="B190" s="107" t="s">
        <v>12</v>
      </c>
      <c r="C190" s="106" t="s">
        <v>569</v>
      </c>
      <c r="D190" s="23">
        <v>2015</v>
      </c>
      <c r="E190" s="84" t="s">
        <v>14</v>
      </c>
      <c r="F190" s="84" t="s">
        <v>570</v>
      </c>
      <c r="G190" s="109" t="str">
        <f>HYPERLINK("https://www.lyellcollection.org/toc/sp/415/1")</f>
        <v>https://www.lyellcollection.org/toc/sp/415/1</v>
      </c>
      <c r="H190" s="110" t="s">
        <v>70</v>
      </c>
      <c r="I190" s="27" t="s">
        <v>2912</v>
      </c>
      <c r="J190" s="23" t="s">
        <v>71</v>
      </c>
      <c r="K190" s="102">
        <v>100</v>
      </c>
      <c r="L190" s="86" t="s">
        <v>415</v>
      </c>
    </row>
    <row r="191" spans="1:29" s="41" customFormat="1" ht="31.2" customHeight="1" x14ac:dyDescent="0.2">
      <c r="A191" s="106" t="s">
        <v>571</v>
      </c>
      <c r="B191" s="107" t="s">
        <v>12</v>
      </c>
      <c r="C191" s="106" t="s">
        <v>572</v>
      </c>
      <c r="D191" s="23">
        <v>2015</v>
      </c>
      <c r="E191" s="84" t="s">
        <v>14</v>
      </c>
      <c r="F191" s="84" t="s">
        <v>573</v>
      </c>
      <c r="G191" s="109" t="str">
        <f>HYPERLINK("https://www.lyellcollection.org/toc/sp/414/1")</f>
        <v>https://www.lyellcollection.org/toc/sp/414/1</v>
      </c>
      <c r="H191" s="110" t="s">
        <v>70</v>
      </c>
      <c r="I191" s="27" t="s">
        <v>2912</v>
      </c>
      <c r="J191" s="23" t="s">
        <v>71</v>
      </c>
      <c r="K191" s="102">
        <v>100</v>
      </c>
      <c r="L191" s="86" t="s">
        <v>415</v>
      </c>
    </row>
    <row r="192" spans="1:29" s="41" customFormat="1" ht="31.2" customHeight="1" x14ac:dyDescent="0.2">
      <c r="A192" s="106" t="s">
        <v>574</v>
      </c>
      <c r="B192" s="107" t="s">
        <v>12</v>
      </c>
      <c r="C192" s="106" t="s">
        <v>575</v>
      </c>
      <c r="D192" s="23">
        <v>2015</v>
      </c>
      <c r="E192" s="84" t="s">
        <v>14</v>
      </c>
      <c r="F192" s="84" t="s">
        <v>576</v>
      </c>
      <c r="G192" s="109" t="str">
        <f>HYPERLINK("https://www.lyellcollection.org/toc/sp/413/1")</f>
        <v>https://www.lyellcollection.org/toc/sp/413/1</v>
      </c>
      <c r="H192" s="110" t="s">
        <v>70</v>
      </c>
      <c r="I192" s="27" t="s">
        <v>2912</v>
      </c>
      <c r="J192" s="23" t="s">
        <v>71</v>
      </c>
      <c r="K192" s="102">
        <v>100</v>
      </c>
      <c r="L192" s="86" t="s">
        <v>415</v>
      </c>
    </row>
    <row r="193" spans="1:29" s="41" customFormat="1" ht="31.2" customHeight="1" x14ac:dyDescent="0.2">
      <c r="A193" s="106" t="s">
        <v>577</v>
      </c>
      <c r="B193" s="107" t="s">
        <v>12</v>
      </c>
      <c r="C193" s="106" t="s">
        <v>578</v>
      </c>
      <c r="D193" s="23">
        <v>2015</v>
      </c>
      <c r="E193" s="84" t="s">
        <v>14</v>
      </c>
      <c r="F193" s="84" t="s">
        <v>579</v>
      </c>
      <c r="G193" s="109" t="str">
        <f>HYPERLINK("https://www.lyellcollection.org/toc/sp/412/1")</f>
        <v>https://www.lyellcollection.org/toc/sp/412/1</v>
      </c>
      <c r="H193" s="110" t="s">
        <v>70</v>
      </c>
      <c r="I193" s="27" t="s">
        <v>2912</v>
      </c>
      <c r="J193" s="23" t="s">
        <v>1273</v>
      </c>
      <c r="K193" s="102">
        <v>100</v>
      </c>
      <c r="L193" s="86" t="s">
        <v>415</v>
      </c>
    </row>
    <row r="194" spans="1:29" s="41" customFormat="1" ht="31.2" customHeight="1" x14ac:dyDescent="0.2">
      <c r="A194" s="106" t="s">
        <v>580</v>
      </c>
      <c r="B194" s="107" t="s">
        <v>12</v>
      </c>
      <c r="C194" s="106" t="s">
        <v>581</v>
      </c>
      <c r="D194" s="23">
        <v>2015</v>
      </c>
      <c r="E194" s="84" t="s">
        <v>14</v>
      </c>
      <c r="F194" s="84" t="s">
        <v>582</v>
      </c>
      <c r="G194" s="109" t="str">
        <f>HYPERLINK("https://www.lyellcollection.org/toc/sp/410/1")</f>
        <v>https://www.lyellcollection.org/toc/sp/410/1</v>
      </c>
      <c r="H194" s="110" t="s">
        <v>70</v>
      </c>
      <c r="I194" s="27" t="s">
        <v>2912</v>
      </c>
      <c r="J194" s="23" t="s">
        <v>71</v>
      </c>
      <c r="K194" s="102">
        <v>100</v>
      </c>
      <c r="L194" s="86" t="s">
        <v>415</v>
      </c>
    </row>
    <row r="195" spans="1:29" s="41" customFormat="1" ht="31.2" customHeight="1" x14ac:dyDescent="0.2">
      <c r="A195" s="106" t="s">
        <v>583</v>
      </c>
      <c r="B195" s="107" t="s">
        <v>12</v>
      </c>
      <c r="C195" s="106" t="s">
        <v>584</v>
      </c>
      <c r="D195" s="23">
        <v>2015</v>
      </c>
      <c r="E195" s="84" t="s">
        <v>14</v>
      </c>
      <c r="F195" s="84" t="s">
        <v>585</v>
      </c>
      <c r="G195" s="109" t="str">
        <f>HYPERLINK("https://www.lyellcollection.org/toc/sp/409/1")</f>
        <v>https://www.lyellcollection.org/toc/sp/409/1</v>
      </c>
      <c r="H195" s="110" t="s">
        <v>70</v>
      </c>
      <c r="I195" s="27" t="s">
        <v>2912</v>
      </c>
      <c r="J195" s="23" t="s">
        <v>71</v>
      </c>
      <c r="K195" s="102">
        <v>90</v>
      </c>
      <c r="L195" s="86" t="s">
        <v>415</v>
      </c>
    </row>
    <row r="196" spans="1:29" s="41" customFormat="1" ht="31.2" customHeight="1" x14ac:dyDescent="0.2">
      <c r="A196" s="106" t="s">
        <v>586</v>
      </c>
      <c r="B196" s="107" t="s">
        <v>12</v>
      </c>
      <c r="C196" s="106" t="s">
        <v>587</v>
      </c>
      <c r="D196" s="23">
        <v>2015</v>
      </c>
      <c r="E196" s="84" t="s">
        <v>14</v>
      </c>
      <c r="F196" s="84" t="s">
        <v>588</v>
      </c>
      <c r="G196" s="109" t="str">
        <f>HYPERLINK("https://www.lyellcollection.org/toc/sp/407/1")</f>
        <v>https://www.lyellcollection.org/toc/sp/407/1</v>
      </c>
      <c r="H196" s="110" t="s">
        <v>70</v>
      </c>
      <c r="I196" s="27" t="s">
        <v>2912</v>
      </c>
      <c r="J196" s="23" t="s">
        <v>71</v>
      </c>
      <c r="K196" s="102">
        <v>90</v>
      </c>
      <c r="L196" s="86" t="s">
        <v>415</v>
      </c>
    </row>
    <row r="197" spans="1:29" s="41" customFormat="1" ht="31.2" customHeight="1" x14ac:dyDescent="0.2">
      <c r="A197" s="106" t="s">
        <v>589</v>
      </c>
      <c r="B197" s="107" t="s">
        <v>12</v>
      </c>
      <c r="C197" s="106" t="s">
        <v>590</v>
      </c>
      <c r="D197" s="23">
        <v>2015</v>
      </c>
      <c r="E197" s="84" t="s">
        <v>14</v>
      </c>
      <c r="F197" s="84" t="s">
        <v>591</v>
      </c>
      <c r="G197" s="109" t="str">
        <f>HYPERLINK("https://www.lyellcollection.org/toc/sp/406/1")</f>
        <v>https://www.lyellcollection.org/toc/sp/406/1</v>
      </c>
      <c r="H197" s="110" t="s">
        <v>70</v>
      </c>
      <c r="I197" s="27" t="s">
        <v>2912</v>
      </c>
      <c r="J197" s="23" t="s">
        <v>71</v>
      </c>
      <c r="K197" s="102">
        <v>120</v>
      </c>
      <c r="L197" s="86" t="s">
        <v>415</v>
      </c>
      <c r="M197" s="117"/>
      <c r="N197" s="117"/>
      <c r="O197" s="117"/>
      <c r="P197" s="117"/>
      <c r="Q197" s="117"/>
      <c r="R197" s="117"/>
      <c r="S197" s="117"/>
      <c r="T197" s="117"/>
      <c r="U197" s="117"/>
      <c r="V197" s="117"/>
      <c r="W197" s="117"/>
      <c r="X197" s="117"/>
      <c r="Y197" s="117"/>
      <c r="Z197" s="117"/>
      <c r="AA197" s="117"/>
      <c r="AB197" s="117"/>
      <c r="AC197" s="117"/>
    </row>
    <row r="198" spans="1:29" s="41" customFormat="1" ht="31.2" customHeight="1" x14ac:dyDescent="0.2">
      <c r="A198" s="111" t="s">
        <v>592</v>
      </c>
      <c r="B198" s="107" t="s">
        <v>12</v>
      </c>
      <c r="C198" s="95" t="s">
        <v>593</v>
      </c>
      <c r="D198" s="23">
        <v>2015</v>
      </c>
      <c r="E198" s="84" t="s">
        <v>14</v>
      </c>
      <c r="F198" s="105" t="s">
        <v>594</v>
      </c>
      <c r="G198" s="109" t="str">
        <f>HYPERLINK("https://www.lyellcollection.org/toc/sp/404/1")</f>
        <v>https://www.lyellcollection.org/toc/sp/404/1</v>
      </c>
      <c r="H198" s="110" t="s">
        <v>70</v>
      </c>
      <c r="I198" s="27" t="s">
        <v>2912</v>
      </c>
      <c r="J198" s="23" t="s">
        <v>71</v>
      </c>
      <c r="K198" s="102">
        <v>120</v>
      </c>
      <c r="L198" s="86" t="s">
        <v>415</v>
      </c>
    </row>
    <row r="199" spans="1:29" s="41" customFormat="1" ht="31.2" customHeight="1" x14ac:dyDescent="0.2">
      <c r="A199" s="106" t="s">
        <v>595</v>
      </c>
      <c r="B199" s="107" t="s">
        <v>12</v>
      </c>
      <c r="C199" s="95" t="s">
        <v>596</v>
      </c>
      <c r="D199" s="23">
        <v>2015</v>
      </c>
      <c r="E199" s="84" t="s">
        <v>14</v>
      </c>
      <c r="F199" s="125" t="s">
        <v>597</v>
      </c>
      <c r="G199" s="109" t="str">
        <f>HYPERLINK("https://www.lyellcollection.org/toc/sp/403/1")</f>
        <v>https://www.lyellcollection.org/toc/sp/403/1</v>
      </c>
      <c r="H199" s="110" t="s">
        <v>70</v>
      </c>
      <c r="I199" s="27" t="s">
        <v>2912</v>
      </c>
      <c r="J199" s="23" t="s">
        <v>71</v>
      </c>
      <c r="K199" s="102">
        <v>100</v>
      </c>
      <c r="L199" s="86" t="s">
        <v>415</v>
      </c>
    </row>
    <row r="200" spans="1:29" s="41" customFormat="1" ht="31.2" customHeight="1" x14ac:dyDescent="0.2">
      <c r="A200" s="106" t="s">
        <v>598</v>
      </c>
      <c r="B200" s="107" t="s">
        <v>12</v>
      </c>
      <c r="C200" s="95" t="s">
        <v>599</v>
      </c>
      <c r="D200" s="23">
        <v>2015</v>
      </c>
      <c r="E200" s="84" t="s">
        <v>14</v>
      </c>
      <c r="F200" s="125" t="s">
        <v>600</v>
      </c>
      <c r="G200" s="109" t="str">
        <f>HYPERLINK("https://www.lyellcollection.org/toc/sp/401/1")</f>
        <v>https://www.lyellcollection.org/toc/sp/401/1</v>
      </c>
      <c r="H200" s="110" t="s">
        <v>70</v>
      </c>
      <c r="I200" s="27" t="s">
        <v>2912</v>
      </c>
      <c r="J200" s="23" t="s">
        <v>71</v>
      </c>
      <c r="K200" s="102">
        <v>130</v>
      </c>
      <c r="L200" s="86" t="s">
        <v>415</v>
      </c>
    </row>
    <row r="201" spans="1:29" s="41" customFormat="1" ht="31.2" customHeight="1" x14ac:dyDescent="0.2">
      <c r="A201" s="106" t="s">
        <v>601</v>
      </c>
      <c r="B201" s="107" t="s">
        <v>12</v>
      </c>
      <c r="C201" s="95" t="s">
        <v>602</v>
      </c>
      <c r="D201" s="23">
        <v>2015</v>
      </c>
      <c r="E201" s="84" t="s">
        <v>14</v>
      </c>
      <c r="F201" s="105" t="s">
        <v>603</v>
      </c>
      <c r="G201" s="109" t="str">
        <f>HYPERLINK("https://www.lyellcollection.org/toc/sp/399/1")</f>
        <v>https://www.lyellcollection.org/toc/sp/399/1</v>
      </c>
      <c r="H201" s="110" t="s">
        <v>70</v>
      </c>
      <c r="I201" s="27" t="s">
        <v>2912</v>
      </c>
      <c r="J201" s="23" t="s">
        <v>71</v>
      </c>
      <c r="K201" s="102">
        <v>140</v>
      </c>
      <c r="L201" s="86" t="s">
        <v>604</v>
      </c>
    </row>
    <row r="202" spans="1:29" s="41" customFormat="1" ht="31.2" customHeight="1" x14ac:dyDescent="0.2">
      <c r="A202" s="106" t="s">
        <v>605</v>
      </c>
      <c r="B202" s="107" t="s">
        <v>12</v>
      </c>
      <c r="C202" s="106" t="s">
        <v>606</v>
      </c>
      <c r="D202" s="23">
        <v>2015</v>
      </c>
      <c r="E202" s="84" t="s">
        <v>14</v>
      </c>
      <c r="F202" s="105" t="s">
        <v>607</v>
      </c>
      <c r="G202" s="109" t="str">
        <f>HYPERLINK("https://www.lyellcollection.org/toc/sp/396/1")</f>
        <v>https://www.lyellcollection.org/toc/sp/396/1</v>
      </c>
      <c r="H202" s="110" t="s">
        <v>70</v>
      </c>
      <c r="I202" s="27" t="s">
        <v>2912</v>
      </c>
      <c r="J202" s="23" t="s">
        <v>71</v>
      </c>
      <c r="K202" s="102">
        <v>100</v>
      </c>
      <c r="L202" s="86" t="s">
        <v>604</v>
      </c>
    </row>
    <row r="203" spans="1:29" s="41" customFormat="1" ht="31.2" customHeight="1" x14ac:dyDescent="0.2">
      <c r="A203" s="106" t="s">
        <v>608</v>
      </c>
      <c r="B203" s="107" t="s">
        <v>12</v>
      </c>
      <c r="C203" s="106" t="s">
        <v>609</v>
      </c>
      <c r="D203" s="23">
        <v>2015</v>
      </c>
      <c r="E203" s="84" t="s">
        <v>14</v>
      </c>
      <c r="F203" s="84" t="s">
        <v>610</v>
      </c>
      <c r="G203" s="109" t="str">
        <f>HYPERLINK("https://www.lyellcollection.org/toc/sp/393/1")</f>
        <v>https://www.lyellcollection.org/toc/sp/393/1</v>
      </c>
      <c r="H203" s="110" t="s">
        <v>70</v>
      </c>
      <c r="I203" s="27" t="s">
        <v>2912</v>
      </c>
      <c r="J203" s="23" t="s">
        <v>71</v>
      </c>
      <c r="K203" s="102">
        <v>110</v>
      </c>
      <c r="L203" s="86" t="s">
        <v>604</v>
      </c>
    </row>
    <row r="204" spans="1:29" s="41" customFormat="1" ht="31.2" customHeight="1" x14ac:dyDescent="0.2">
      <c r="A204" s="106" t="s">
        <v>611</v>
      </c>
      <c r="B204" s="107" t="s">
        <v>12</v>
      </c>
      <c r="C204" s="106" t="s">
        <v>612</v>
      </c>
      <c r="D204" s="23">
        <v>2015</v>
      </c>
      <c r="E204" s="84" t="s">
        <v>14</v>
      </c>
      <c r="F204" s="84" t="s">
        <v>613</v>
      </c>
      <c r="G204" s="109" t="str">
        <f>HYPERLINK("https://www.lyellcollection.org/toc/sp/389/1")</f>
        <v>https://www.lyellcollection.org/toc/sp/389/1</v>
      </c>
      <c r="H204" s="110" t="s">
        <v>70</v>
      </c>
      <c r="I204" s="27" t="s">
        <v>2912</v>
      </c>
      <c r="J204" s="23" t="s">
        <v>71</v>
      </c>
      <c r="K204" s="102">
        <v>100</v>
      </c>
      <c r="L204" s="86" t="s">
        <v>604</v>
      </c>
    </row>
    <row r="205" spans="1:29" s="41" customFormat="1" ht="31.2" customHeight="1" x14ac:dyDescent="0.2">
      <c r="A205" s="111" t="s">
        <v>614</v>
      </c>
      <c r="B205" s="113" t="s">
        <v>39</v>
      </c>
      <c r="C205" s="106" t="s">
        <v>615</v>
      </c>
      <c r="D205" s="23">
        <v>2015</v>
      </c>
      <c r="E205" s="84" t="s">
        <v>14</v>
      </c>
      <c r="F205" s="84" t="s">
        <v>616</v>
      </c>
      <c r="G205" s="109" t="str">
        <f>HYPERLINK("https://www.lyellcollection.org/toc/mem/45/1")</f>
        <v>https://www.lyellcollection.org/toc/mem/45/1</v>
      </c>
      <c r="H205" s="110" t="s">
        <v>70</v>
      </c>
      <c r="I205" s="27" t="s">
        <v>2912</v>
      </c>
      <c r="J205" s="23" t="s">
        <v>71</v>
      </c>
      <c r="K205" s="102">
        <v>85</v>
      </c>
      <c r="L205" s="53"/>
    </row>
    <row r="206" spans="1:29" s="41" customFormat="1" ht="31.2" customHeight="1" x14ac:dyDescent="0.2">
      <c r="A206" s="111" t="s">
        <v>617</v>
      </c>
      <c r="B206" s="113" t="s">
        <v>39</v>
      </c>
      <c r="C206" s="106" t="s">
        <v>618</v>
      </c>
      <c r="D206" s="23">
        <v>2015</v>
      </c>
      <c r="E206" s="84" t="s">
        <v>14</v>
      </c>
      <c r="F206" s="84" t="s">
        <v>619</v>
      </c>
      <c r="G206" s="109" t="str">
        <f>HYPERLINK("https://www.lyellcollection.org/toc/mem/44/1")</f>
        <v>https://www.lyellcollection.org/toc/mem/44/1</v>
      </c>
      <c r="H206" s="110" t="s">
        <v>70</v>
      </c>
      <c r="I206" s="27" t="s">
        <v>2912</v>
      </c>
      <c r="J206" s="23" t="s">
        <v>71</v>
      </c>
      <c r="K206" s="102">
        <v>95</v>
      </c>
      <c r="L206" s="53"/>
    </row>
    <row r="207" spans="1:29" s="41" customFormat="1" ht="31.2" customHeight="1" x14ac:dyDescent="0.2">
      <c r="A207" s="111" t="s">
        <v>620</v>
      </c>
      <c r="B207" s="113" t="s">
        <v>39</v>
      </c>
      <c r="C207" s="106" t="s">
        <v>621</v>
      </c>
      <c r="D207" s="23">
        <v>2015</v>
      </c>
      <c r="E207" s="84" t="s">
        <v>14</v>
      </c>
      <c r="F207" s="84" t="s">
        <v>622</v>
      </c>
      <c r="G207" s="109" t="str">
        <f>HYPERLINK("https://www.lyellcollection.org/toc/mem/43/1")</f>
        <v>https://www.lyellcollection.org/toc/mem/43/1</v>
      </c>
      <c r="H207" s="110" t="s">
        <v>70</v>
      </c>
      <c r="I207" s="27" t="s">
        <v>2912</v>
      </c>
      <c r="J207" s="23" t="s">
        <v>71</v>
      </c>
      <c r="K207" s="102">
        <v>120</v>
      </c>
      <c r="L207" s="53"/>
    </row>
    <row r="208" spans="1:29" s="41" customFormat="1" ht="31.2" customHeight="1" x14ac:dyDescent="0.2">
      <c r="A208" s="111" t="s">
        <v>623</v>
      </c>
      <c r="B208" s="107" t="s">
        <v>12</v>
      </c>
      <c r="C208" s="95" t="s">
        <v>624</v>
      </c>
      <c r="D208" s="23">
        <v>2014</v>
      </c>
      <c r="E208" s="84" t="s">
        <v>14</v>
      </c>
      <c r="F208" s="84" t="s">
        <v>625</v>
      </c>
      <c r="G208" s="109" t="str">
        <f>HYPERLINK("https://www.lyellcollection.org/toc/sp/405/1")</f>
        <v>https://www.lyellcollection.org/toc/sp/405/1</v>
      </c>
      <c r="H208" s="110" t="s">
        <v>70</v>
      </c>
      <c r="I208" s="27" t="s">
        <v>2912</v>
      </c>
      <c r="J208" s="23" t="s">
        <v>71</v>
      </c>
      <c r="K208" s="102">
        <v>120</v>
      </c>
      <c r="L208" s="86" t="s">
        <v>415</v>
      </c>
      <c r="M208" s="117"/>
      <c r="N208" s="117"/>
      <c r="O208" s="117"/>
      <c r="P208" s="117"/>
      <c r="Q208" s="117"/>
      <c r="R208" s="117"/>
      <c r="S208" s="117"/>
      <c r="T208" s="117"/>
      <c r="U208" s="117"/>
      <c r="V208" s="117"/>
      <c r="W208" s="117"/>
      <c r="X208" s="117"/>
      <c r="Y208" s="117"/>
      <c r="Z208" s="117"/>
      <c r="AA208" s="117"/>
    </row>
    <row r="209" spans="1:27" s="41" customFormat="1" ht="31.2" customHeight="1" x14ac:dyDescent="0.2">
      <c r="A209" s="106" t="s">
        <v>626</v>
      </c>
      <c r="B209" s="107" t="s">
        <v>12</v>
      </c>
      <c r="C209" s="95" t="s">
        <v>627</v>
      </c>
      <c r="D209" s="23">
        <v>2014</v>
      </c>
      <c r="E209" s="84" t="s">
        <v>14</v>
      </c>
      <c r="F209" s="125" t="s">
        <v>628</v>
      </c>
      <c r="G209" s="109" t="str">
        <f>HYPERLINK("https://www.lyellcollection.org/toc/sp/402/1")</f>
        <v>https://www.lyellcollection.org/toc/sp/402/1</v>
      </c>
      <c r="H209" s="110" t="s">
        <v>70</v>
      </c>
      <c r="I209" s="27" t="s">
        <v>2912</v>
      </c>
      <c r="J209" s="23" t="s">
        <v>71</v>
      </c>
      <c r="K209" s="102">
        <v>100</v>
      </c>
      <c r="L209" s="86" t="s">
        <v>415</v>
      </c>
    </row>
    <row r="210" spans="1:27" s="41" customFormat="1" ht="31.2" customHeight="1" x14ac:dyDescent="0.2">
      <c r="A210" s="106" t="s">
        <v>629</v>
      </c>
      <c r="B210" s="107" t="s">
        <v>12</v>
      </c>
      <c r="C210" s="95" t="s">
        <v>630</v>
      </c>
      <c r="D210" s="23">
        <v>2014</v>
      </c>
      <c r="E210" s="84" t="s">
        <v>14</v>
      </c>
      <c r="F210" s="105" t="s">
        <v>631</v>
      </c>
      <c r="G210" s="109" t="str">
        <f>HYPERLINK("https://www.lyellcollection.org/toc/sp/400/1")</f>
        <v>https://www.lyellcollection.org/toc/sp/400/1</v>
      </c>
      <c r="H210" s="110" t="s">
        <v>70</v>
      </c>
      <c r="I210" s="27" t="s">
        <v>2912</v>
      </c>
      <c r="J210" s="23" t="s">
        <v>71</v>
      </c>
      <c r="K210" s="102">
        <v>140</v>
      </c>
      <c r="L210" s="86" t="s">
        <v>604</v>
      </c>
    </row>
    <row r="211" spans="1:27" s="41" customFormat="1" ht="31.2" customHeight="1" x14ac:dyDescent="0.2">
      <c r="A211" s="106" t="s">
        <v>632</v>
      </c>
      <c r="B211" s="107" t="s">
        <v>12</v>
      </c>
      <c r="C211" s="95" t="s">
        <v>633</v>
      </c>
      <c r="D211" s="23">
        <v>2014</v>
      </c>
      <c r="E211" s="84" t="s">
        <v>14</v>
      </c>
      <c r="F211" s="125" t="s">
        <v>634</v>
      </c>
      <c r="G211" s="109" t="str">
        <f>HYPERLINK("https://www.lyellcollection.org/toc/sp/398/1")</f>
        <v>https://www.lyellcollection.org/toc/sp/398/1</v>
      </c>
      <c r="H211" s="110" t="s">
        <v>70</v>
      </c>
      <c r="I211" s="27" t="s">
        <v>2912</v>
      </c>
      <c r="J211" s="23" t="s">
        <v>71</v>
      </c>
      <c r="K211" s="102">
        <v>80</v>
      </c>
      <c r="L211" s="86" t="s">
        <v>604</v>
      </c>
    </row>
    <row r="212" spans="1:27" s="41" customFormat="1" ht="31.2" customHeight="1" x14ac:dyDescent="0.2">
      <c r="A212" s="106" t="s">
        <v>635</v>
      </c>
      <c r="B212" s="107" t="s">
        <v>12</v>
      </c>
      <c r="C212" s="95" t="s">
        <v>636</v>
      </c>
      <c r="D212" s="23">
        <v>2014</v>
      </c>
      <c r="E212" s="84" t="s">
        <v>14</v>
      </c>
      <c r="F212" s="125" t="s">
        <v>637</v>
      </c>
      <c r="G212" s="109" t="str">
        <f>HYPERLINK("https://www.lyellcollection.org/toc/sp/397/1")</f>
        <v>https://www.lyellcollection.org/toc/sp/397/1</v>
      </c>
      <c r="H212" s="110" t="s">
        <v>70</v>
      </c>
      <c r="I212" s="27" t="s">
        <v>2912</v>
      </c>
      <c r="J212" s="23" t="s">
        <v>71</v>
      </c>
      <c r="K212" s="102">
        <v>90</v>
      </c>
      <c r="L212" s="86" t="s">
        <v>604</v>
      </c>
    </row>
    <row r="213" spans="1:27" s="41" customFormat="1" ht="31.2" customHeight="1" x14ac:dyDescent="0.2">
      <c r="A213" s="106" t="s">
        <v>638</v>
      </c>
      <c r="B213" s="107" t="s">
        <v>12</v>
      </c>
      <c r="C213" s="106" t="s">
        <v>639</v>
      </c>
      <c r="D213" s="23">
        <v>2014</v>
      </c>
      <c r="E213" s="84" t="s">
        <v>14</v>
      </c>
      <c r="F213" s="84" t="s">
        <v>640</v>
      </c>
      <c r="G213" s="109" t="str">
        <f>HYPERLINK("https://www.lyellcollection.org/toc/sp/395/1")</f>
        <v>https://www.lyellcollection.org/toc/sp/395/1</v>
      </c>
      <c r="H213" s="110" t="s">
        <v>70</v>
      </c>
      <c r="I213" s="27" t="s">
        <v>2912</v>
      </c>
      <c r="J213" s="23" t="s">
        <v>71</v>
      </c>
      <c r="K213" s="102">
        <v>90</v>
      </c>
      <c r="L213" s="86" t="s">
        <v>604</v>
      </c>
      <c r="M213" s="117"/>
      <c r="N213" s="117"/>
      <c r="O213" s="117"/>
      <c r="P213" s="117"/>
      <c r="Q213" s="117"/>
      <c r="R213" s="117"/>
      <c r="S213" s="117"/>
      <c r="T213" s="117"/>
      <c r="U213" s="117"/>
      <c r="V213" s="117"/>
      <c r="W213" s="117"/>
      <c r="X213" s="117"/>
      <c r="Y213" s="117"/>
      <c r="Z213" s="117"/>
      <c r="AA213" s="117"/>
    </row>
    <row r="214" spans="1:27" s="41" customFormat="1" ht="31.2" customHeight="1" x14ac:dyDescent="0.2">
      <c r="A214" s="106" t="s">
        <v>641</v>
      </c>
      <c r="B214" s="107" t="s">
        <v>12</v>
      </c>
      <c r="C214" s="106" t="s">
        <v>642</v>
      </c>
      <c r="D214" s="23">
        <v>2014</v>
      </c>
      <c r="E214" s="84" t="s">
        <v>14</v>
      </c>
      <c r="F214" s="84" t="s">
        <v>643</v>
      </c>
      <c r="G214" s="109" t="str">
        <f>HYPERLINK("https://www.lyellcollection.org/toc/sp/394/1")</f>
        <v>https://www.lyellcollection.org/toc/sp/394/1</v>
      </c>
      <c r="H214" s="110" t="s">
        <v>70</v>
      </c>
      <c r="I214" s="27" t="s">
        <v>2912</v>
      </c>
      <c r="J214" s="23" t="s">
        <v>71</v>
      </c>
      <c r="K214" s="102">
        <v>90</v>
      </c>
      <c r="L214" s="86" t="s">
        <v>604</v>
      </c>
    </row>
    <row r="215" spans="1:27" s="41" customFormat="1" ht="31.2" customHeight="1" x14ac:dyDescent="0.2">
      <c r="A215" s="106" t="s">
        <v>644</v>
      </c>
      <c r="B215" s="107" t="s">
        <v>12</v>
      </c>
      <c r="C215" s="106" t="s">
        <v>645</v>
      </c>
      <c r="D215" s="23">
        <v>2014</v>
      </c>
      <c r="E215" s="84" t="s">
        <v>14</v>
      </c>
      <c r="F215" s="84" t="s">
        <v>646</v>
      </c>
      <c r="G215" s="109" t="str">
        <f>HYPERLINK("https://www.lyellcollection.org/toc/sp/392/1")</f>
        <v>https://www.lyellcollection.org/toc/sp/392/1</v>
      </c>
      <c r="H215" s="110" t="s">
        <v>70</v>
      </c>
      <c r="I215" s="27" t="s">
        <v>2912</v>
      </c>
      <c r="J215" s="23" t="s">
        <v>71</v>
      </c>
      <c r="K215" s="102">
        <v>60</v>
      </c>
      <c r="L215" s="86" t="s">
        <v>604</v>
      </c>
    </row>
    <row r="216" spans="1:27" s="41" customFormat="1" ht="31.2" customHeight="1" x14ac:dyDescent="0.2">
      <c r="A216" s="106" t="s">
        <v>647</v>
      </c>
      <c r="B216" s="107" t="s">
        <v>12</v>
      </c>
      <c r="C216" s="106" t="s">
        <v>648</v>
      </c>
      <c r="D216" s="23">
        <v>2014</v>
      </c>
      <c r="E216" s="84" t="s">
        <v>14</v>
      </c>
      <c r="F216" s="84" t="s">
        <v>649</v>
      </c>
      <c r="G216" s="109" t="str">
        <f>HYPERLINK("https://www.lyellcollection.org/toc/sp/391/1")</f>
        <v>https://www.lyellcollection.org/toc/sp/391/1</v>
      </c>
      <c r="H216" s="110" t="s">
        <v>70</v>
      </c>
      <c r="I216" s="27" t="s">
        <v>2912</v>
      </c>
      <c r="J216" s="23" t="s">
        <v>71</v>
      </c>
      <c r="K216" s="102">
        <v>45</v>
      </c>
      <c r="L216" s="86" t="s">
        <v>604</v>
      </c>
    </row>
    <row r="217" spans="1:27" s="41" customFormat="1" ht="31.2" customHeight="1" x14ac:dyDescent="0.2">
      <c r="A217" s="106" t="s">
        <v>650</v>
      </c>
      <c r="B217" s="107" t="s">
        <v>12</v>
      </c>
      <c r="C217" s="106" t="s">
        <v>651</v>
      </c>
      <c r="D217" s="23">
        <v>2014</v>
      </c>
      <c r="E217" s="84" t="s">
        <v>14</v>
      </c>
      <c r="F217" s="84" t="s">
        <v>652</v>
      </c>
      <c r="G217" s="109" t="str">
        <f>HYPERLINK("https://www.lyellcollection.org/toc/sp/390/1")</f>
        <v>https://www.lyellcollection.org/toc/sp/390/1</v>
      </c>
      <c r="H217" s="110" t="s">
        <v>70</v>
      </c>
      <c r="I217" s="27" t="s">
        <v>2912</v>
      </c>
      <c r="J217" s="23" t="s">
        <v>71</v>
      </c>
      <c r="K217" s="102">
        <v>100</v>
      </c>
      <c r="L217" s="86" t="s">
        <v>604</v>
      </c>
    </row>
    <row r="218" spans="1:27" s="41" customFormat="1" ht="31.2" customHeight="1" x14ac:dyDescent="0.2">
      <c r="A218" s="106" t="s">
        <v>653</v>
      </c>
      <c r="B218" s="107" t="s">
        <v>12</v>
      </c>
      <c r="C218" s="106" t="s">
        <v>654</v>
      </c>
      <c r="D218" s="23">
        <v>2014</v>
      </c>
      <c r="E218" s="84" t="s">
        <v>14</v>
      </c>
      <c r="F218" s="84" t="s">
        <v>655</v>
      </c>
      <c r="G218" s="109" t="str">
        <f>HYPERLINK("https://www.lyellcollection.org/toc/sp/388/1")</f>
        <v>https://www.lyellcollection.org/toc/sp/388/1</v>
      </c>
      <c r="H218" s="110" t="s">
        <v>70</v>
      </c>
      <c r="I218" s="27" t="s">
        <v>2912</v>
      </c>
      <c r="J218" s="23" t="s">
        <v>71</v>
      </c>
      <c r="K218" s="102">
        <v>140</v>
      </c>
      <c r="L218" s="86" t="s">
        <v>604</v>
      </c>
    </row>
    <row r="219" spans="1:27" s="41" customFormat="1" ht="31.2" customHeight="1" x14ac:dyDescent="0.2">
      <c r="A219" s="106" t="s">
        <v>656</v>
      </c>
      <c r="B219" s="107" t="s">
        <v>12</v>
      </c>
      <c r="C219" s="106" t="s">
        <v>657</v>
      </c>
      <c r="D219" s="23">
        <v>2014</v>
      </c>
      <c r="E219" s="84" t="s">
        <v>14</v>
      </c>
      <c r="F219" s="84" t="s">
        <v>658</v>
      </c>
      <c r="G219" s="109" t="str">
        <f>HYPERLINK("https://www.lyellcollection.org/toc/sp/387/1")</f>
        <v>https://www.lyellcollection.org/toc/sp/387/1</v>
      </c>
      <c r="H219" s="110" t="s">
        <v>70</v>
      </c>
      <c r="I219" s="27" t="s">
        <v>2912</v>
      </c>
      <c r="J219" s="23" t="s">
        <v>71</v>
      </c>
      <c r="K219" s="102">
        <v>85</v>
      </c>
      <c r="L219" s="86" t="s">
        <v>604</v>
      </c>
    </row>
    <row r="220" spans="1:27" s="41" customFormat="1" ht="31.2" customHeight="1" x14ac:dyDescent="0.2">
      <c r="A220" s="106" t="s">
        <v>659</v>
      </c>
      <c r="B220" s="107" t="s">
        <v>12</v>
      </c>
      <c r="C220" s="106" t="s">
        <v>660</v>
      </c>
      <c r="D220" s="23">
        <v>2014</v>
      </c>
      <c r="E220" s="84" t="s">
        <v>14</v>
      </c>
      <c r="F220" s="84" t="s">
        <v>661</v>
      </c>
      <c r="G220" s="109" t="str">
        <f>HYPERLINK("https://www.lyellcollection.org/toc/sp/386/1")</f>
        <v>https://www.lyellcollection.org/toc/sp/386/1</v>
      </c>
      <c r="H220" s="110" t="s">
        <v>70</v>
      </c>
      <c r="I220" s="27" t="s">
        <v>2912</v>
      </c>
      <c r="J220" s="23" t="s">
        <v>71</v>
      </c>
      <c r="K220" s="102">
        <v>100</v>
      </c>
      <c r="L220" s="86" t="s">
        <v>604</v>
      </c>
    </row>
    <row r="221" spans="1:27" s="41" customFormat="1" ht="31.2" customHeight="1" x14ac:dyDescent="0.2">
      <c r="A221" s="106" t="s">
        <v>662</v>
      </c>
      <c r="B221" s="107" t="s">
        <v>12</v>
      </c>
      <c r="C221" s="106" t="s">
        <v>663</v>
      </c>
      <c r="D221" s="23">
        <v>2014</v>
      </c>
      <c r="E221" s="84" t="s">
        <v>14</v>
      </c>
      <c r="F221" s="84" t="s">
        <v>664</v>
      </c>
      <c r="G221" s="109" t="str">
        <f>HYPERLINK("https://www.lyellcollection.org/toc/sp/385/1")</f>
        <v>https://www.lyellcollection.org/toc/sp/385/1</v>
      </c>
      <c r="H221" s="110" t="s">
        <v>70</v>
      </c>
      <c r="I221" s="27" t="s">
        <v>2912</v>
      </c>
      <c r="J221" s="23" t="s">
        <v>71</v>
      </c>
      <c r="K221" s="102">
        <v>125</v>
      </c>
      <c r="L221" s="86" t="s">
        <v>604</v>
      </c>
    </row>
    <row r="222" spans="1:27" s="41" customFormat="1" ht="31.2" customHeight="1" x14ac:dyDescent="0.2">
      <c r="A222" s="106" t="s">
        <v>665</v>
      </c>
      <c r="B222" s="107" t="s">
        <v>12</v>
      </c>
      <c r="C222" s="106" t="s">
        <v>666</v>
      </c>
      <c r="D222" s="23">
        <v>2014</v>
      </c>
      <c r="E222" s="84" t="s">
        <v>14</v>
      </c>
      <c r="F222" s="84" t="s">
        <v>667</v>
      </c>
      <c r="G222" s="109" t="str">
        <f>HYPERLINK("https://www.lyellcollection.org/toc/sp/378/1")</f>
        <v>https://www.lyellcollection.org/toc/sp/378/1</v>
      </c>
      <c r="H222" s="110" t="s">
        <v>70</v>
      </c>
      <c r="I222" s="27" t="s">
        <v>2912</v>
      </c>
      <c r="J222" s="23" t="s">
        <v>71</v>
      </c>
      <c r="K222" s="102">
        <v>62.5</v>
      </c>
      <c r="L222" s="86" t="s">
        <v>604</v>
      </c>
    </row>
    <row r="223" spans="1:27" s="41" customFormat="1" ht="31.2" customHeight="1" x14ac:dyDescent="0.2">
      <c r="A223" s="106" t="s">
        <v>668</v>
      </c>
      <c r="B223" s="107" t="s">
        <v>12</v>
      </c>
      <c r="C223" s="106" t="s">
        <v>669</v>
      </c>
      <c r="D223" s="105">
        <v>2014</v>
      </c>
      <c r="E223" s="105" t="s">
        <v>14</v>
      </c>
      <c r="F223" s="105" t="s">
        <v>670</v>
      </c>
      <c r="G223" s="109" t="str">
        <f>HYPERLINK("https://www.lyellcollection.org/toc/sp/374/1")</f>
        <v>https://www.lyellcollection.org/toc/sp/374/1</v>
      </c>
      <c r="H223" s="110" t="s">
        <v>70</v>
      </c>
      <c r="I223" s="27" t="s">
        <v>2912</v>
      </c>
      <c r="J223" s="23" t="s">
        <v>71</v>
      </c>
      <c r="K223" s="102">
        <v>125</v>
      </c>
      <c r="L223" s="86" t="s">
        <v>604</v>
      </c>
    </row>
    <row r="224" spans="1:27" s="41" customFormat="1" ht="31.2" customHeight="1" x14ac:dyDescent="0.2">
      <c r="A224" s="111" t="s">
        <v>671</v>
      </c>
      <c r="B224" s="113" t="s">
        <v>39</v>
      </c>
      <c r="C224" s="106" t="s">
        <v>672</v>
      </c>
      <c r="D224" s="23">
        <v>2014</v>
      </c>
      <c r="E224" s="84" t="s">
        <v>14</v>
      </c>
      <c r="F224" s="84" t="s">
        <v>673</v>
      </c>
      <c r="G224" s="109" t="str">
        <f>HYPERLINK("https://www.lyellcollection.org/toc/mem/42/1")</f>
        <v>https://www.lyellcollection.org/toc/mem/42/1</v>
      </c>
      <c r="H224" s="110" t="s">
        <v>70</v>
      </c>
      <c r="I224" s="27" t="s">
        <v>2912</v>
      </c>
      <c r="J224" s="23" t="s">
        <v>71</v>
      </c>
      <c r="K224" s="102">
        <v>60</v>
      </c>
      <c r="L224" s="53"/>
    </row>
    <row r="225" spans="1:29" s="41" customFormat="1" ht="31.2" customHeight="1" x14ac:dyDescent="0.2">
      <c r="A225" s="111" t="s">
        <v>674</v>
      </c>
      <c r="B225" s="113" t="s">
        <v>39</v>
      </c>
      <c r="C225" s="106" t="s">
        <v>675</v>
      </c>
      <c r="D225" s="23">
        <v>2014</v>
      </c>
      <c r="E225" s="84" t="s">
        <v>14</v>
      </c>
      <c r="F225" s="84" t="s">
        <v>676</v>
      </c>
      <c r="G225" s="109" t="str">
        <f>HYPERLINK("https://www.lyellcollection.org/toc/mem/41/1")</f>
        <v>https://www.lyellcollection.org/toc/mem/41/1</v>
      </c>
      <c r="H225" s="110" t="s">
        <v>70</v>
      </c>
      <c r="I225" s="27" t="s">
        <v>2912</v>
      </c>
      <c r="J225" s="23" t="s">
        <v>71</v>
      </c>
      <c r="K225" s="102">
        <v>110</v>
      </c>
      <c r="L225" s="53"/>
    </row>
    <row r="226" spans="1:29" s="41" customFormat="1" ht="31.2" customHeight="1" x14ac:dyDescent="0.2">
      <c r="A226" s="111" t="s">
        <v>677</v>
      </c>
      <c r="B226" s="113" t="s">
        <v>39</v>
      </c>
      <c r="C226" s="95" t="s">
        <v>678</v>
      </c>
      <c r="D226" s="23">
        <v>2014</v>
      </c>
      <c r="E226" s="84" t="s">
        <v>14</v>
      </c>
      <c r="F226" s="23" t="s">
        <v>679</v>
      </c>
      <c r="G226" s="109" t="str">
        <f>HYPERLINK("https://www.lyellcollection.org/toc/mem/40/1")</f>
        <v>https://www.lyellcollection.org/toc/mem/40/1</v>
      </c>
      <c r="H226" s="110" t="s">
        <v>70</v>
      </c>
      <c r="I226" s="27" t="s">
        <v>2912</v>
      </c>
      <c r="J226" s="23" t="s">
        <v>71</v>
      </c>
      <c r="K226" s="102">
        <v>125</v>
      </c>
      <c r="L226" s="319"/>
    </row>
    <row r="227" spans="1:29" s="41" customFormat="1" ht="31.2" customHeight="1" x14ac:dyDescent="0.2">
      <c r="A227" s="111" t="s">
        <v>680</v>
      </c>
      <c r="B227" s="113" t="s">
        <v>39</v>
      </c>
      <c r="C227" s="106" t="s">
        <v>681</v>
      </c>
      <c r="D227" s="23">
        <v>2014</v>
      </c>
      <c r="E227" s="84" t="s">
        <v>14</v>
      </c>
      <c r="F227" s="84" t="s">
        <v>682</v>
      </c>
      <c r="G227" s="109" t="str">
        <f>HYPERLINK("https://www.lyellcollection.org/toc/mem/39/1")</f>
        <v>https://www.lyellcollection.org/toc/mem/39/1</v>
      </c>
      <c r="H227" s="110" t="s">
        <v>70</v>
      </c>
      <c r="I227" s="27" t="s">
        <v>2912</v>
      </c>
      <c r="J227" s="23" t="s">
        <v>71</v>
      </c>
      <c r="K227" s="102">
        <v>125</v>
      </c>
      <c r="L227" s="53"/>
    </row>
    <row r="228" spans="1:29" s="41" customFormat="1" ht="31.2" customHeight="1" x14ac:dyDescent="0.2">
      <c r="A228" s="111" t="s">
        <v>683</v>
      </c>
      <c r="B228" s="106" t="s">
        <v>427</v>
      </c>
      <c r="C228" s="106" t="s">
        <v>684</v>
      </c>
      <c r="D228" s="23">
        <v>2013</v>
      </c>
      <c r="E228" s="84" t="s">
        <v>14</v>
      </c>
      <c r="F228" s="84" t="s">
        <v>685</v>
      </c>
      <c r="G228" s="112" t="s">
        <v>79</v>
      </c>
      <c r="H228" s="191"/>
      <c r="I228" s="192"/>
      <c r="J228" s="23" t="s">
        <v>71</v>
      </c>
      <c r="K228" s="102">
        <v>95</v>
      </c>
      <c r="L228" s="53"/>
    </row>
    <row r="229" spans="1:29" s="41" customFormat="1" ht="31.2" customHeight="1" x14ac:dyDescent="0.2">
      <c r="A229" s="111" t="s">
        <v>686</v>
      </c>
      <c r="B229" s="106" t="s">
        <v>427</v>
      </c>
      <c r="C229" s="106" t="s">
        <v>687</v>
      </c>
      <c r="D229" s="23">
        <v>2013</v>
      </c>
      <c r="E229" s="84" t="s">
        <v>14</v>
      </c>
      <c r="F229" s="84" t="s">
        <v>688</v>
      </c>
      <c r="G229" s="112" t="s">
        <v>79</v>
      </c>
      <c r="H229" s="191"/>
      <c r="I229" s="192"/>
      <c r="J229" s="23" t="s">
        <v>71</v>
      </c>
      <c r="K229" s="102">
        <v>50</v>
      </c>
      <c r="L229" s="53"/>
    </row>
    <row r="230" spans="1:29" s="41" customFormat="1" ht="31.2" customHeight="1" x14ac:dyDescent="0.2">
      <c r="A230" s="106" t="s">
        <v>693</v>
      </c>
      <c r="B230" s="107" t="s">
        <v>12</v>
      </c>
      <c r="C230" s="106" t="s">
        <v>694</v>
      </c>
      <c r="D230" s="23">
        <v>2013</v>
      </c>
      <c r="E230" s="84" t="s">
        <v>14</v>
      </c>
      <c r="F230" s="84" t="s">
        <v>695</v>
      </c>
      <c r="G230" s="109" t="str">
        <f>HYPERLINK("https://www.lyellcollection.org/toc/sp/384/1")</f>
        <v>https://www.lyellcollection.org/toc/sp/384/1</v>
      </c>
      <c r="H230" s="110" t="s">
        <v>70</v>
      </c>
      <c r="I230" s="27" t="s">
        <v>2912</v>
      </c>
      <c r="J230" s="23" t="s">
        <v>71</v>
      </c>
      <c r="K230" s="102">
        <v>100</v>
      </c>
      <c r="L230" s="86" t="s">
        <v>604</v>
      </c>
    </row>
    <row r="231" spans="1:29" s="41" customFormat="1" ht="31.2" customHeight="1" x14ac:dyDescent="0.2">
      <c r="A231" s="106" t="s">
        <v>696</v>
      </c>
      <c r="B231" s="107" t="s">
        <v>12</v>
      </c>
      <c r="C231" s="106" t="s">
        <v>697</v>
      </c>
      <c r="D231" s="23">
        <v>2013</v>
      </c>
      <c r="E231" s="84" t="s">
        <v>14</v>
      </c>
      <c r="F231" s="84" t="s">
        <v>698</v>
      </c>
      <c r="G231" s="109" t="str">
        <f>HYPERLINK("https://www.lyellcollection.org/toc/sp/383/1")</f>
        <v>https://www.lyellcollection.org/toc/sp/383/1</v>
      </c>
      <c r="H231" s="110" t="s">
        <v>70</v>
      </c>
      <c r="I231" s="27" t="s">
        <v>2912</v>
      </c>
      <c r="J231" s="23" t="s">
        <v>71</v>
      </c>
      <c r="K231" s="102">
        <v>85</v>
      </c>
      <c r="L231" s="86" t="s">
        <v>604</v>
      </c>
    </row>
    <row r="232" spans="1:29" s="41" customFormat="1" ht="31.2" customHeight="1" x14ac:dyDescent="0.2">
      <c r="A232" s="106" t="s">
        <v>699</v>
      </c>
      <c r="B232" s="107" t="s">
        <v>12</v>
      </c>
      <c r="C232" s="106" t="s">
        <v>700</v>
      </c>
      <c r="D232" s="23">
        <v>2013</v>
      </c>
      <c r="E232" s="84" t="s">
        <v>14</v>
      </c>
      <c r="F232" s="84" t="s">
        <v>701</v>
      </c>
      <c r="G232" s="109" t="str">
        <f>HYPERLINK("https://www.lyellcollection.org/toc/sp/382/1")</f>
        <v>https://www.lyellcollection.org/toc/sp/382/1</v>
      </c>
      <c r="H232" s="110" t="s">
        <v>70</v>
      </c>
      <c r="I232" s="27" t="s">
        <v>2912</v>
      </c>
      <c r="J232" s="23" t="s">
        <v>71</v>
      </c>
      <c r="K232" s="102">
        <v>125</v>
      </c>
      <c r="L232" s="86" t="s">
        <v>604</v>
      </c>
    </row>
    <row r="233" spans="1:29" s="41" customFormat="1" ht="31.2" customHeight="1" x14ac:dyDescent="0.2">
      <c r="A233" s="106" t="s">
        <v>702</v>
      </c>
      <c r="B233" s="107" t="s">
        <v>12</v>
      </c>
      <c r="C233" s="106" t="s">
        <v>703</v>
      </c>
      <c r="D233" s="23">
        <v>2013</v>
      </c>
      <c r="E233" s="84" t="s">
        <v>14</v>
      </c>
      <c r="F233" s="84" t="s">
        <v>704</v>
      </c>
      <c r="G233" s="109" t="str">
        <f>HYPERLINK("https://www.lyellcollection.org/toc/sp/381/1")</f>
        <v>https://www.lyellcollection.org/toc/sp/381/1</v>
      </c>
      <c r="H233" s="110" t="s">
        <v>70</v>
      </c>
      <c r="I233" s="27" t="s">
        <v>2912</v>
      </c>
      <c r="J233" s="23" t="s">
        <v>71</v>
      </c>
      <c r="K233" s="102">
        <v>125</v>
      </c>
      <c r="L233" s="86" t="s">
        <v>604</v>
      </c>
    </row>
    <row r="234" spans="1:29" s="41" customFormat="1" ht="31.2" customHeight="1" x14ac:dyDescent="0.2">
      <c r="A234" s="106" t="s">
        <v>705</v>
      </c>
      <c r="B234" s="107" t="s">
        <v>12</v>
      </c>
      <c r="C234" s="106" t="s">
        <v>706</v>
      </c>
      <c r="D234" s="23">
        <v>2013</v>
      </c>
      <c r="E234" s="84" t="s">
        <v>14</v>
      </c>
      <c r="F234" s="84" t="s">
        <v>707</v>
      </c>
      <c r="G234" s="109" t="str">
        <f>HYPERLINK("https://www.lyellcollection.org/toc/sp/380/1")</f>
        <v>https://www.lyellcollection.org/toc/sp/380/1</v>
      </c>
      <c r="H234" s="110" t="s">
        <v>70</v>
      </c>
      <c r="I234" s="27" t="s">
        <v>2912</v>
      </c>
      <c r="J234" s="23" t="s">
        <v>71</v>
      </c>
      <c r="K234" s="102">
        <v>100</v>
      </c>
      <c r="L234" s="86" t="s">
        <v>604</v>
      </c>
    </row>
    <row r="235" spans="1:29" s="41" customFormat="1" ht="31.2" customHeight="1" x14ac:dyDescent="0.2">
      <c r="A235" s="106" t="s">
        <v>708</v>
      </c>
      <c r="B235" s="107" t="s">
        <v>12</v>
      </c>
      <c r="C235" s="106" t="s">
        <v>709</v>
      </c>
      <c r="D235" s="23">
        <v>2013</v>
      </c>
      <c r="E235" s="84" t="s">
        <v>14</v>
      </c>
      <c r="F235" s="84" t="s">
        <v>710</v>
      </c>
      <c r="G235" s="109" t="str">
        <f>HYPERLINK("https://www.lyellcollection.org/toc/sp/379/1")</f>
        <v>https://www.lyellcollection.org/toc/sp/379/1</v>
      </c>
      <c r="H235" s="110" t="s">
        <v>70</v>
      </c>
      <c r="I235" s="27" t="s">
        <v>2912</v>
      </c>
      <c r="J235" s="23" t="s">
        <v>71</v>
      </c>
      <c r="K235" s="102">
        <v>150</v>
      </c>
      <c r="L235" s="86" t="s">
        <v>604</v>
      </c>
    </row>
    <row r="236" spans="1:29" s="41" customFormat="1" ht="31.2" customHeight="1" x14ac:dyDescent="0.2">
      <c r="A236" s="106" t="s">
        <v>711</v>
      </c>
      <c r="B236" s="107" t="s">
        <v>12</v>
      </c>
      <c r="C236" s="106" t="s">
        <v>712</v>
      </c>
      <c r="D236" s="23">
        <v>2013</v>
      </c>
      <c r="E236" s="105" t="s">
        <v>14</v>
      </c>
      <c r="F236" s="125" t="s">
        <v>713</v>
      </c>
      <c r="G236" s="109" t="str">
        <f>HYPERLINK("https://www.lyellcollection.org/toc/sp/377/1")</f>
        <v>https://www.lyellcollection.org/toc/sp/377/1</v>
      </c>
      <c r="H236" s="110" t="s">
        <v>70</v>
      </c>
      <c r="I236" s="27" t="s">
        <v>2912</v>
      </c>
      <c r="J236" s="23" t="s">
        <v>71</v>
      </c>
      <c r="K236" s="102">
        <v>125</v>
      </c>
      <c r="L236" s="86" t="s">
        <v>604</v>
      </c>
    </row>
    <row r="237" spans="1:29" s="41" customFormat="1" ht="31.2" customHeight="1" x14ac:dyDescent="0.2">
      <c r="A237" s="106" t="s">
        <v>714</v>
      </c>
      <c r="B237" s="107" t="s">
        <v>12</v>
      </c>
      <c r="C237" s="106" t="s">
        <v>715</v>
      </c>
      <c r="D237" s="23">
        <v>2013</v>
      </c>
      <c r="E237" s="105" t="s">
        <v>14</v>
      </c>
      <c r="F237" s="105" t="s">
        <v>716</v>
      </c>
      <c r="G237" s="109" t="str">
        <f>HYPERLINK("https://www.lyellcollection.org/toc/sp/376/1")</f>
        <v>https://www.lyellcollection.org/toc/sp/376/1</v>
      </c>
      <c r="H237" s="110" t="s">
        <v>70</v>
      </c>
      <c r="I237" s="27" t="s">
        <v>2912</v>
      </c>
      <c r="J237" s="23" t="s">
        <v>71</v>
      </c>
      <c r="K237" s="102">
        <v>140</v>
      </c>
      <c r="L237" s="86" t="s">
        <v>604</v>
      </c>
    </row>
    <row r="238" spans="1:29" s="41" customFormat="1" ht="31.2" customHeight="1" x14ac:dyDescent="0.2">
      <c r="A238" s="106" t="s">
        <v>717</v>
      </c>
      <c r="B238" s="107" t="s">
        <v>12</v>
      </c>
      <c r="C238" s="106" t="s">
        <v>718</v>
      </c>
      <c r="D238" s="105">
        <v>2013</v>
      </c>
      <c r="E238" s="105" t="s">
        <v>14</v>
      </c>
      <c r="F238" s="105" t="s">
        <v>719</v>
      </c>
      <c r="G238" s="109" t="str">
        <f>HYPERLINK("https://www.lyellcollection.org/toc/sp/375/1")</f>
        <v>https://www.lyellcollection.org/toc/sp/375/1</v>
      </c>
      <c r="H238" s="110" t="s">
        <v>70</v>
      </c>
      <c r="I238" s="27" t="s">
        <v>2912</v>
      </c>
      <c r="J238" s="23" t="s">
        <v>71</v>
      </c>
      <c r="K238" s="102">
        <v>125</v>
      </c>
      <c r="L238" s="86" t="s">
        <v>604</v>
      </c>
    </row>
    <row r="239" spans="1:29" s="41" customFormat="1" ht="31.2" customHeight="1" x14ac:dyDescent="0.2">
      <c r="A239" s="106" t="s">
        <v>720</v>
      </c>
      <c r="B239" s="107" t="s">
        <v>12</v>
      </c>
      <c r="C239" s="106" t="s">
        <v>721</v>
      </c>
      <c r="D239" s="105">
        <v>2013</v>
      </c>
      <c r="E239" s="105" t="s">
        <v>14</v>
      </c>
      <c r="F239" s="105" t="s">
        <v>722</v>
      </c>
      <c r="G239" s="109" t="str">
        <f>HYPERLINK("https://www.lyellcollection.org/toc/sp/373/1")</f>
        <v>https://www.lyellcollection.org/toc/sp/373/1</v>
      </c>
      <c r="H239" s="110" t="s">
        <v>70</v>
      </c>
      <c r="I239" s="27" t="s">
        <v>2912</v>
      </c>
      <c r="J239" s="23" t="s">
        <v>71</v>
      </c>
      <c r="K239" s="102">
        <v>110</v>
      </c>
      <c r="L239" s="86" t="s">
        <v>604</v>
      </c>
    </row>
    <row r="240" spans="1:29" s="41" customFormat="1" ht="31.2" customHeight="1" x14ac:dyDescent="0.2">
      <c r="A240" s="111" t="s">
        <v>723</v>
      </c>
      <c r="B240" s="107" t="s">
        <v>12</v>
      </c>
      <c r="C240" s="106" t="s">
        <v>724</v>
      </c>
      <c r="D240" s="105">
        <v>2013</v>
      </c>
      <c r="E240" s="105" t="s">
        <v>14</v>
      </c>
      <c r="F240" s="105" t="s">
        <v>725</v>
      </c>
      <c r="G240" s="109" t="str">
        <f>HYPERLINK("https://www.lyellcollection.org/toc/sp/372/1")</f>
        <v>https://www.lyellcollection.org/toc/sp/372/1</v>
      </c>
      <c r="H240" s="110" t="s">
        <v>70</v>
      </c>
      <c r="I240" s="27" t="s">
        <v>2912</v>
      </c>
      <c r="J240" s="23" t="s">
        <v>71</v>
      </c>
      <c r="K240" s="102">
        <v>140</v>
      </c>
      <c r="L240" s="86" t="s">
        <v>604</v>
      </c>
      <c r="AB240" s="117"/>
      <c r="AC240" s="117"/>
    </row>
    <row r="241" spans="1:12" s="41" customFormat="1" ht="31.2" customHeight="1" x14ac:dyDescent="0.2">
      <c r="A241" s="106" t="s">
        <v>726</v>
      </c>
      <c r="B241" s="107" t="s">
        <v>12</v>
      </c>
      <c r="C241" s="106" t="s">
        <v>727</v>
      </c>
      <c r="D241" s="23">
        <v>2013</v>
      </c>
      <c r="E241" s="84" t="s">
        <v>14</v>
      </c>
      <c r="F241" s="84" t="s">
        <v>728</v>
      </c>
      <c r="G241" s="109" t="str">
        <f>HYPERLINK("https://www.lyellcollection.org/toc/sp/369/1")</f>
        <v>https://www.lyellcollection.org/toc/sp/369/1</v>
      </c>
      <c r="H241" s="110" t="s">
        <v>70</v>
      </c>
      <c r="I241" s="27" t="s">
        <v>2912</v>
      </c>
      <c r="J241" s="23" t="s">
        <v>71</v>
      </c>
      <c r="K241" s="102">
        <v>120</v>
      </c>
      <c r="L241" s="86" t="s">
        <v>604</v>
      </c>
    </row>
    <row r="242" spans="1:12" s="41" customFormat="1" ht="31.2" customHeight="1" x14ac:dyDescent="0.2">
      <c r="A242" s="111" t="s">
        <v>689</v>
      </c>
      <c r="B242" s="116" t="s">
        <v>690</v>
      </c>
      <c r="C242" s="95" t="s">
        <v>691</v>
      </c>
      <c r="D242" s="105">
        <v>2013</v>
      </c>
      <c r="E242" s="105" t="s">
        <v>14</v>
      </c>
      <c r="F242" s="105" t="s">
        <v>692</v>
      </c>
      <c r="G242" s="112" t="s">
        <v>79</v>
      </c>
      <c r="H242" s="191"/>
      <c r="I242" s="192"/>
      <c r="J242" s="23" t="s">
        <v>71</v>
      </c>
      <c r="K242" s="102">
        <v>120</v>
      </c>
      <c r="L242" s="53"/>
    </row>
    <row r="243" spans="1:12" s="41" customFormat="1" ht="31.2" customHeight="1" x14ac:dyDescent="0.2">
      <c r="A243" s="111" t="s">
        <v>729</v>
      </c>
      <c r="B243" s="113" t="s">
        <v>39</v>
      </c>
      <c r="C243" s="106" t="s">
        <v>730</v>
      </c>
      <c r="D243" s="23">
        <v>2013</v>
      </c>
      <c r="E243" s="84" t="s">
        <v>14</v>
      </c>
      <c r="F243" s="84" t="s">
        <v>731</v>
      </c>
      <c r="G243" s="109" t="str">
        <f>HYPERLINK("https://www.lyellcollection.org/toc/mem/38/1")</f>
        <v>https://www.lyellcollection.org/toc/mem/38/1</v>
      </c>
      <c r="H243" s="110" t="s">
        <v>70</v>
      </c>
      <c r="I243" s="27" t="s">
        <v>2912</v>
      </c>
      <c r="J243" s="23" t="s">
        <v>71</v>
      </c>
      <c r="K243" s="102">
        <v>125</v>
      </c>
      <c r="L243" s="53"/>
    </row>
    <row r="244" spans="1:12" s="41" customFormat="1" ht="31.2" customHeight="1" x14ac:dyDescent="0.2">
      <c r="A244" s="111" t="s">
        <v>732</v>
      </c>
      <c r="B244" s="113" t="s">
        <v>39</v>
      </c>
      <c r="C244" s="106" t="s">
        <v>733</v>
      </c>
      <c r="D244" s="105">
        <v>2013</v>
      </c>
      <c r="E244" s="84" t="s">
        <v>14</v>
      </c>
      <c r="F244" s="84" t="s">
        <v>734</v>
      </c>
      <c r="G244" s="109" t="str">
        <f>HYPERLINK("https://www.lyellcollection.org/toc/mem/37/1")</f>
        <v>https://www.lyellcollection.org/toc/mem/37/1</v>
      </c>
      <c r="H244" s="110" t="s">
        <v>70</v>
      </c>
      <c r="I244" s="27" t="s">
        <v>2912</v>
      </c>
      <c r="J244" s="23" t="s">
        <v>71</v>
      </c>
      <c r="K244" s="102">
        <v>130</v>
      </c>
      <c r="L244" s="53"/>
    </row>
    <row r="245" spans="1:12" s="41" customFormat="1" ht="31.2" customHeight="1" x14ac:dyDescent="0.2">
      <c r="A245" s="111" t="s">
        <v>738</v>
      </c>
      <c r="B245" s="107" t="s">
        <v>43</v>
      </c>
      <c r="C245" s="106" t="s">
        <v>739</v>
      </c>
      <c r="D245" s="105">
        <v>2012</v>
      </c>
      <c r="E245" s="84" t="s">
        <v>14</v>
      </c>
      <c r="F245" s="84" t="s">
        <v>740</v>
      </c>
      <c r="G245" s="109" t="str">
        <f>HYPERLINK("https://www.lyellcollection.org/toc/egsp/26/1")</f>
        <v>https://www.lyellcollection.org/toc/egsp/26/1</v>
      </c>
      <c r="H245" s="110" t="s">
        <v>70</v>
      </c>
      <c r="I245" s="27" t="s">
        <v>2912</v>
      </c>
      <c r="J245" s="23" t="s">
        <v>71</v>
      </c>
      <c r="K245" s="102">
        <v>75</v>
      </c>
      <c r="L245" s="53"/>
    </row>
    <row r="246" spans="1:12" s="41" customFormat="1" ht="31.2" customHeight="1" x14ac:dyDescent="0.2">
      <c r="A246" s="111" t="s">
        <v>741</v>
      </c>
      <c r="B246" s="107" t="s">
        <v>43</v>
      </c>
      <c r="C246" s="106" t="s">
        <v>742</v>
      </c>
      <c r="D246" s="105">
        <v>2012</v>
      </c>
      <c r="E246" s="84" t="s">
        <v>14</v>
      </c>
      <c r="F246" s="84" t="s">
        <v>743</v>
      </c>
      <c r="G246" s="109" t="str">
        <f>HYPERLINK("https://www.lyellcollection.org/toc/egsp/25/1")</f>
        <v>https://www.lyellcollection.org/toc/egsp/25/1</v>
      </c>
      <c r="H246" s="110" t="s">
        <v>70</v>
      </c>
      <c r="I246" s="27" t="s">
        <v>2912</v>
      </c>
      <c r="J246" s="23" t="s">
        <v>71</v>
      </c>
      <c r="K246" s="102">
        <v>100</v>
      </c>
      <c r="L246" s="53"/>
    </row>
    <row r="247" spans="1:12" s="41" customFormat="1" ht="31.2" customHeight="1" x14ac:dyDescent="0.2">
      <c r="A247" s="106" t="s">
        <v>744</v>
      </c>
      <c r="B247" s="107" t="s">
        <v>12</v>
      </c>
      <c r="C247" s="106" t="s">
        <v>745</v>
      </c>
      <c r="D247" s="23">
        <v>2012</v>
      </c>
      <c r="E247" s="84" t="s">
        <v>14</v>
      </c>
      <c r="F247" s="84" t="s">
        <v>746</v>
      </c>
      <c r="G247" s="109" t="str">
        <f>HYPERLINK("https://www.lyellcollection.org/toc/sp/371/1")</f>
        <v>https://www.lyellcollection.org/toc/sp/371/1</v>
      </c>
      <c r="H247" s="110" t="s">
        <v>70</v>
      </c>
      <c r="I247" s="27" t="s">
        <v>2912</v>
      </c>
      <c r="J247" s="23" t="s">
        <v>1273</v>
      </c>
      <c r="K247" s="102">
        <v>90</v>
      </c>
      <c r="L247" s="86" t="s">
        <v>604</v>
      </c>
    </row>
    <row r="248" spans="1:12" s="41" customFormat="1" ht="31.2" customHeight="1" x14ac:dyDescent="0.2">
      <c r="A248" s="106" t="s">
        <v>747</v>
      </c>
      <c r="B248" s="107" t="s">
        <v>12</v>
      </c>
      <c r="C248" s="106" t="s">
        <v>748</v>
      </c>
      <c r="D248" s="23">
        <v>2012</v>
      </c>
      <c r="E248" s="84" t="s">
        <v>14</v>
      </c>
      <c r="F248" s="84" t="s">
        <v>749</v>
      </c>
      <c r="G248" s="109" t="str">
        <f>HYPERLINK("https://www.lyellcollection.org/toc/sp/370/1")</f>
        <v>https://www.lyellcollection.org/toc/sp/370/1</v>
      </c>
      <c r="H248" s="110" t="s">
        <v>70</v>
      </c>
      <c r="I248" s="27" t="s">
        <v>2912</v>
      </c>
      <c r="J248" s="23" t="s">
        <v>71</v>
      </c>
      <c r="K248" s="102">
        <v>90</v>
      </c>
      <c r="L248" s="86" t="s">
        <v>604</v>
      </c>
    </row>
    <row r="249" spans="1:12" s="41" customFormat="1" ht="31.2" customHeight="1" x14ac:dyDescent="0.2">
      <c r="A249" s="106" t="s">
        <v>750</v>
      </c>
      <c r="B249" s="107" t="s">
        <v>12</v>
      </c>
      <c r="C249" s="106" t="s">
        <v>751</v>
      </c>
      <c r="D249" s="23">
        <v>2012</v>
      </c>
      <c r="E249" s="84" t="s">
        <v>14</v>
      </c>
      <c r="F249" s="84" t="s">
        <v>752</v>
      </c>
      <c r="G249" s="109" t="str">
        <f>HYPERLINK("https://www.lyellcollection.org/toc/sp/368/1")</f>
        <v>https://www.lyellcollection.org/toc/sp/368/1</v>
      </c>
      <c r="H249" s="110" t="s">
        <v>70</v>
      </c>
      <c r="I249" s="27" t="s">
        <v>2912</v>
      </c>
      <c r="J249" s="23" t="s">
        <v>71</v>
      </c>
      <c r="K249" s="102">
        <v>60</v>
      </c>
      <c r="L249" s="86" t="s">
        <v>604</v>
      </c>
    </row>
    <row r="250" spans="1:12" s="41" customFormat="1" ht="31.2" customHeight="1" x14ac:dyDescent="0.2">
      <c r="A250" s="106" t="s">
        <v>753</v>
      </c>
      <c r="B250" s="107" t="s">
        <v>12</v>
      </c>
      <c r="C250" s="106" t="s">
        <v>754</v>
      </c>
      <c r="D250" s="23">
        <v>2012</v>
      </c>
      <c r="E250" s="84" t="s">
        <v>14</v>
      </c>
      <c r="F250" s="84" t="s">
        <v>755</v>
      </c>
      <c r="G250" s="109" t="str">
        <f>HYPERLINK("https://www.lyellcollection.org/toc/sp/367/1")</f>
        <v>https://www.lyellcollection.org/toc/sp/367/1</v>
      </c>
      <c r="H250" s="110" t="s">
        <v>70</v>
      </c>
      <c r="I250" s="27" t="s">
        <v>2912</v>
      </c>
      <c r="J250" s="23" t="s">
        <v>71</v>
      </c>
      <c r="K250" s="102">
        <v>85</v>
      </c>
      <c r="L250" s="86" t="s">
        <v>604</v>
      </c>
    </row>
    <row r="251" spans="1:12" s="41" customFormat="1" ht="31.2" customHeight="1" x14ac:dyDescent="0.2">
      <c r="A251" s="106" t="s">
        <v>756</v>
      </c>
      <c r="B251" s="107" t="s">
        <v>12</v>
      </c>
      <c r="C251" s="106" t="s">
        <v>757</v>
      </c>
      <c r="D251" s="23">
        <v>2012</v>
      </c>
      <c r="E251" s="84" t="s">
        <v>14</v>
      </c>
      <c r="F251" s="84" t="s">
        <v>758</v>
      </c>
      <c r="G251" s="109" t="str">
        <f>HYPERLINK("https://www.lyellcollection.org/toc/sp/366/1")</f>
        <v>https://www.lyellcollection.org/toc/sp/366/1</v>
      </c>
      <c r="H251" s="110" t="s">
        <v>70</v>
      </c>
      <c r="I251" s="27" t="s">
        <v>2912</v>
      </c>
      <c r="J251" s="23" t="s">
        <v>71</v>
      </c>
      <c r="K251" s="102">
        <v>100</v>
      </c>
      <c r="L251" s="86" t="s">
        <v>604</v>
      </c>
    </row>
    <row r="252" spans="1:12" s="41" customFormat="1" ht="31.2" customHeight="1" x14ac:dyDescent="0.2">
      <c r="A252" s="106" t="s">
        <v>759</v>
      </c>
      <c r="B252" s="107" t="s">
        <v>12</v>
      </c>
      <c r="C252" s="106" t="s">
        <v>760</v>
      </c>
      <c r="D252" s="23">
        <v>2012</v>
      </c>
      <c r="E252" s="84" t="s">
        <v>14</v>
      </c>
      <c r="F252" s="84" t="s">
        <v>761</v>
      </c>
      <c r="G252" s="109" t="str">
        <f>HYPERLINK("https://www.lyellcollection.org/toc/sp/365/1")</f>
        <v>https://www.lyellcollection.org/toc/sp/365/1</v>
      </c>
      <c r="H252" s="110" t="s">
        <v>70</v>
      </c>
      <c r="I252" s="27" t="s">
        <v>2912</v>
      </c>
      <c r="J252" s="23" t="s">
        <v>1273</v>
      </c>
      <c r="K252" s="102">
        <v>95</v>
      </c>
      <c r="L252" s="86" t="s">
        <v>604</v>
      </c>
    </row>
    <row r="253" spans="1:12" s="41" customFormat="1" ht="31.2" customHeight="1" x14ac:dyDescent="0.2">
      <c r="A253" s="106" t="s">
        <v>762</v>
      </c>
      <c r="B253" s="107" t="s">
        <v>12</v>
      </c>
      <c r="C253" s="106" t="s">
        <v>763</v>
      </c>
      <c r="D253" s="23">
        <v>2012</v>
      </c>
      <c r="E253" s="84" t="s">
        <v>14</v>
      </c>
      <c r="F253" s="84" t="s">
        <v>764</v>
      </c>
      <c r="G253" s="109" t="str">
        <f>HYPERLINK("https://www.lyellcollection.org/toc/sp/364/1")</f>
        <v>https://www.lyellcollection.org/toc/sp/364/1</v>
      </c>
      <c r="H253" s="110" t="s">
        <v>70</v>
      </c>
      <c r="I253" s="27" t="s">
        <v>2912</v>
      </c>
      <c r="J253" s="23" t="s">
        <v>71</v>
      </c>
      <c r="K253" s="102">
        <v>90</v>
      </c>
      <c r="L253" s="86" t="s">
        <v>604</v>
      </c>
    </row>
    <row r="254" spans="1:12" s="41" customFormat="1" ht="31.2" customHeight="1" x14ac:dyDescent="0.2">
      <c r="A254" s="106" t="s">
        <v>765</v>
      </c>
      <c r="B254" s="107" t="s">
        <v>12</v>
      </c>
      <c r="C254" s="106" t="s">
        <v>766</v>
      </c>
      <c r="D254" s="23">
        <v>2012</v>
      </c>
      <c r="E254" s="84" t="s">
        <v>14</v>
      </c>
      <c r="F254" s="84" t="s">
        <v>767</v>
      </c>
      <c r="G254" s="109" t="str">
        <f>HYPERLINK("https://www.lyellcollection.org/toc/sp/363/1")</f>
        <v>https://www.lyellcollection.org/toc/sp/363/1</v>
      </c>
      <c r="H254" s="110" t="s">
        <v>70</v>
      </c>
      <c r="I254" s="27" t="s">
        <v>2912</v>
      </c>
      <c r="J254" s="23" t="s">
        <v>1273</v>
      </c>
      <c r="K254" s="102">
        <v>120</v>
      </c>
      <c r="L254" s="86" t="s">
        <v>604</v>
      </c>
    </row>
    <row r="255" spans="1:12" s="41" customFormat="1" ht="31.2" customHeight="1" x14ac:dyDescent="0.2">
      <c r="A255" s="106" t="s">
        <v>768</v>
      </c>
      <c r="B255" s="107" t="s">
        <v>12</v>
      </c>
      <c r="C255" s="106" t="s">
        <v>769</v>
      </c>
      <c r="D255" s="23">
        <v>2012</v>
      </c>
      <c r="E255" s="84" t="s">
        <v>14</v>
      </c>
      <c r="F255" s="84" t="s">
        <v>770</v>
      </c>
      <c r="G255" s="109" t="str">
        <f>HYPERLINK("https://www.lyellcollection.org/toc/sp/362/1")</f>
        <v>https://www.lyellcollection.org/toc/sp/362/1</v>
      </c>
      <c r="H255" s="110" t="s">
        <v>70</v>
      </c>
      <c r="I255" s="27" t="s">
        <v>2912</v>
      </c>
      <c r="J255" s="23" t="s">
        <v>71</v>
      </c>
      <c r="K255" s="102">
        <v>110</v>
      </c>
      <c r="L255" s="86" t="s">
        <v>604</v>
      </c>
    </row>
    <row r="256" spans="1:12" s="41" customFormat="1" ht="31.2" customHeight="1" x14ac:dyDescent="0.2">
      <c r="A256" s="106" t="s">
        <v>771</v>
      </c>
      <c r="B256" s="107" t="s">
        <v>12</v>
      </c>
      <c r="C256" s="106" t="s">
        <v>772</v>
      </c>
      <c r="D256" s="23">
        <v>2012</v>
      </c>
      <c r="E256" s="84" t="s">
        <v>14</v>
      </c>
      <c r="F256" s="84" t="s">
        <v>773</v>
      </c>
      <c r="G256" s="109" t="str">
        <f>HYPERLINK("https://www.lyellcollection.org/toc/sp/361/1")</f>
        <v>https://www.lyellcollection.org/toc/sp/361/1</v>
      </c>
      <c r="H256" s="110" t="s">
        <v>70</v>
      </c>
      <c r="I256" s="27" t="s">
        <v>2912</v>
      </c>
      <c r="J256" s="23" t="s">
        <v>71</v>
      </c>
      <c r="K256" s="102">
        <v>80</v>
      </c>
      <c r="L256" s="86" t="s">
        <v>604</v>
      </c>
    </row>
    <row r="257" spans="1:29" s="41" customFormat="1" ht="31.2" customHeight="1" x14ac:dyDescent="0.2">
      <c r="A257" s="111" t="s">
        <v>735</v>
      </c>
      <c r="B257" s="116" t="s">
        <v>220</v>
      </c>
      <c r="C257" s="106" t="s">
        <v>736</v>
      </c>
      <c r="D257" s="105">
        <v>2012</v>
      </c>
      <c r="E257" s="84" t="s">
        <v>14</v>
      </c>
      <c r="F257" s="84" t="s">
        <v>737</v>
      </c>
      <c r="G257" s="177" t="s">
        <v>185</v>
      </c>
      <c r="H257" s="95" t="s">
        <v>186</v>
      </c>
      <c r="I257" s="27" t="s">
        <v>187</v>
      </c>
      <c r="J257" s="23" t="s">
        <v>71</v>
      </c>
      <c r="K257" s="102">
        <v>40</v>
      </c>
      <c r="L257" s="53"/>
    </row>
    <row r="258" spans="1:29" s="41" customFormat="1" ht="31.2" customHeight="1" x14ac:dyDescent="0.2">
      <c r="A258" s="111" t="s">
        <v>774</v>
      </c>
      <c r="B258" s="122" t="s">
        <v>76</v>
      </c>
      <c r="C258" s="106" t="s">
        <v>775</v>
      </c>
      <c r="D258" s="105">
        <v>2011</v>
      </c>
      <c r="E258" s="84" t="s">
        <v>14</v>
      </c>
      <c r="F258" s="84" t="s">
        <v>776</v>
      </c>
      <c r="G258" s="112" t="s">
        <v>79</v>
      </c>
      <c r="H258" s="191"/>
      <c r="I258" s="192"/>
      <c r="J258" s="23" t="s">
        <v>1077</v>
      </c>
      <c r="K258" s="102" t="e">
        <v>#N/A</v>
      </c>
      <c r="L258" s="53"/>
      <c r="M258" s="81"/>
      <c r="N258" s="81"/>
      <c r="O258" s="81"/>
      <c r="P258" s="81"/>
      <c r="Q258" s="81"/>
      <c r="R258" s="81"/>
      <c r="S258" s="81"/>
      <c r="T258" s="81"/>
      <c r="U258" s="81"/>
      <c r="V258" s="81"/>
      <c r="W258" s="81"/>
      <c r="X258" s="81"/>
      <c r="Y258" s="81"/>
      <c r="Z258" s="81"/>
      <c r="AA258" s="81"/>
      <c r="AB258" s="81"/>
      <c r="AC258" s="81"/>
    </row>
    <row r="259" spans="1:29" s="41" customFormat="1" ht="31.2" customHeight="1" x14ac:dyDescent="0.2">
      <c r="A259" s="121" t="s">
        <v>777</v>
      </c>
      <c r="B259" s="122" t="s">
        <v>76</v>
      </c>
      <c r="C259" s="126" t="s">
        <v>778</v>
      </c>
      <c r="D259" s="127">
        <v>2011</v>
      </c>
      <c r="E259" s="124" t="s">
        <v>14</v>
      </c>
      <c r="F259" s="124" t="s">
        <v>779</v>
      </c>
      <c r="G259" s="112" t="s">
        <v>79</v>
      </c>
      <c r="H259" s="191"/>
      <c r="I259" s="192"/>
      <c r="J259" s="23" t="s">
        <v>71</v>
      </c>
      <c r="K259" s="102">
        <v>20</v>
      </c>
      <c r="L259" s="53"/>
    </row>
    <row r="260" spans="1:29" s="41" customFormat="1" ht="31.2" customHeight="1" x14ac:dyDescent="0.2">
      <c r="A260" s="111" t="s">
        <v>789</v>
      </c>
      <c r="B260" s="107" t="s">
        <v>43</v>
      </c>
      <c r="C260" s="106" t="s">
        <v>790</v>
      </c>
      <c r="D260" s="105">
        <v>2011</v>
      </c>
      <c r="E260" s="84" t="s">
        <v>14</v>
      </c>
      <c r="F260" s="84" t="s">
        <v>791</v>
      </c>
      <c r="G260" s="109" t="str">
        <f>HYPERLINK("https://www.lyellcollection.org/toc/egsp/24/1")</f>
        <v>https://www.lyellcollection.org/toc/egsp/24/1</v>
      </c>
      <c r="H260" s="110" t="s">
        <v>70</v>
      </c>
      <c r="I260" s="27" t="s">
        <v>2912</v>
      </c>
      <c r="J260" s="23" t="s">
        <v>71</v>
      </c>
      <c r="K260" s="102">
        <v>90</v>
      </c>
      <c r="L260" s="53"/>
    </row>
    <row r="261" spans="1:29" s="41" customFormat="1" ht="31.2" customHeight="1" x14ac:dyDescent="0.2">
      <c r="A261" s="106" t="s">
        <v>792</v>
      </c>
      <c r="B261" s="107" t="s">
        <v>12</v>
      </c>
      <c r="C261" s="106" t="s">
        <v>793</v>
      </c>
      <c r="D261" s="23">
        <v>2011</v>
      </c>
      <c r="E261" s="84" t="s">
        <v>14</v>
      </c>
      <c r="F261" s="84" t="s">
        <v>794</v>
      </c>
      <c r="G261" s="109" t="str">
        <f>HYPERLINK("https://www.lyellcollection.org/toc/sp/360/1")</f>
        <v>https://www.lyellcollection.org/toc/sp/360/1</v>
      </c>
      <c r="H261" s="110" t="s">
        <v>70</v>
      </c>
      <c r="I261" s="27" t="s">
        <v>2912</v>
      </c>
      <c r="J261" s="23" t="s">
        <v>71</v>
      </c>
      <c r="K261" s="102">
        <v>110</v>
      </c>
      <c r="L261" s="86" t="s">
        <v>604</v>
      </c>
    </row>
    <row r="262" spans="1:29" s="41" customFormat="1" ht="31.2" customHeight="1" x14ac:dyDescent="0.2">
      <c r="A262" s="106" t="s">
        <v>795</v>
      </c>
      <c r="B262" s="107" t="s">
        <v>12</v>
      </c>
      <c r="C262" s="106" t="s">
        <v>796</v>
      </c>
      <c r="D262" s="23">
        <v>2011</v>
      </c>
      <c r="E262" s="84" t="s">
        <v>14</v>
      </c>
      <c r="F262" s="84" t="s">
        <v>797</v>
      </c>
      <c r="G262" s="109" t="str">
        <f>HYPERLINK("https://www.lyellcollection.org/toc/sp/359/1")</f>
        <v>https://www.lyellcollection.org/toc/sp/359/1</v>
      </c>
      <c r="H262" s="110" t="s">
        <v>70</v>
      </c>
      <c r="I262" s="27" t="s">
        <v>2912</v>
      </c>
      <c r="J262" s="23" t="s">
        <v>71</v>
      </c>
      <c r="K262" s="102">
        <v>110</v>
      </c>
      <c r="L262" s="86" t="s">
        <v>604</v>
      </c>
    </row>
    <row r="263" spans="1:29" s="41" customFormat="1" ht="31.2" customHeight="1" x14ac:dyDescent="0.2">
      <c r="A263" s="106" t="s">
        <v>798</v>
      </c>
      <c r="B263" s="107" t="s">
        <v>12</v>
      </c>
      <c r="C263" s="106" t="s">
        <v>799</v>
      </c>
      <c r="D263" s="23">
        <v>2011</v>
      </c>
      <c r="E263" s="84" t="s">
        <v>14</v>
      </c>
      <c r="F263" s="84" t="s">
        <v>800</v>
      </c>
      <c r="G263" s="109" t="str">
        <f>HYPERLINK("https://www.lyellcollection.org/toc/sp/358/1")</f>
        <v>https://www.lyellcollection.org/toc/sp/358/1</v>
      </c>
      <c r="H263" s="110" t="s">
        <v>70</v>
      </c>
      <c r="I263" s="27" t="s">
        <v>2912</v>
      </c>
      <c r="J263" s="23" t="s">
        <v>71</v>
      </c>
      <c r="K263" s="102">
        <v>90</v>
      </c>
      <c r="L263" s="86" t="s">
        <v>604</v>
      </c>
    </row>
    <row r="264" spans="1:29" s="41" customFormat="1" ht="31.2" customHeight="1" x14ac:dyDescent="0.2">
      <c r="A264" s="106" t="s">
        <v>801</v>
      </c>
      <c r="B264" s="107" t="s">
        <v>12</v>
      </c>
      <c r="C264" s="106" t="s">
        <v>802</v>
      </c>
      <c r="D264" s="23">
        <v>2011</v>
      </c>
      <c r="E264" s="84" t="s">
        <v>14</v>
      </c>
      <c r="F264" s="84" t="s">
        <v>803</v>
      </c>
      <c r="G264" s="109" t="str">
        <f>HYPERLINK("https://www.lyellcollection.org/toc/sp/357/1")</f>
        <v>https://www.lyellcollection.org/toc/sp/357/1</v>
      </c>
      <c r="H264" s="110" t="s">
        <v>70</v>
      </c>
      <c r="I264" s="27" t="s">
        <v>2912</v>
      </c>
      <c r="J264" s="23" t="s">
        <v>71</v>
      </c>
      <c r="K264" s="102">
        <v>120</v>
      </c>
      <c r="L264" s="86" t="s">
        <v>604</v>
      </c>
    </row>
    <row r="265" spans="1:29" s="41" customFormat="1" ht="31.2" customHeight="1" x14ac:dyDescent="0.2">
      <c r="A265" s="111" t="s">
        <v>804</v>
      </c>
      <c r="B265" s="107" t="s">
        <v>12</v>
      </c>
      <c r="C265" s="106" t="s">
        <v>805</v>
      </c>
      <c r="D265" s="105">
        <v>2011</v>
      </c>
      <c r="E265" s="84" t="s">
        <v>14</v>
      </c>
      <c r="F265" s="84" t="s">
        <v>806</v>
      </c>
      <c r="G265" s="109" t="str">
        <f>HYPERLINK("https://www.lyellcollection.org/toc/sp/356/1")</f>
        <v>https://www.lyellcollection.org/toc/sp/356/1</v>
      </c>
      <c r="H265" s="110" t="s">
        <v>70</v>
      </c>
      <c r="I265" s="27" t="s">
        <v>2912</v>
      </c>
      <c r="J265" s="23" t="s">
        <v>71</v>
      </c>
      <c r="K265" s="102">
        <v>100</v>
      </c>
      <c r="L265" s="86" t="s">
        <v>604</v>
      </c>
    </row>
    <row r="266" spans="1:29" s="41" customFormat="1" ht="31.2" customHeight="1" x14ac:dyDescent="0.2">
      <c r="A266" s="111" t="s">
        <v>807</v>
      </c>
      <c r="B266" s="107" t="s">
        <v>12</v>
      </c>
      <c r="C266" s="106" t="s">
        <v>808</v>
      </c>
      <c r="D266" s="105">
        <v>2011</v>
      </c>
      <c r="E266" s="84" t="s">
        <v>14</v>
      </c>
      <c r="F266" s="84" t="s">
        <v>809</v>
      </c>
      <c r="G266" s="109" t="str">
        <f>HYPERLINK("https://www.lyellcollection.org/toc/sp/355/1")</f>
        <v>https://www.lyellcollection.org/toc/sp/355/1</v>
      </c>
      <c r="H266" s="110" t="s">
        <v>70</v>
      </c>
      <c r="I266" s="27" t="s">
        <v>2912</v>
      </c>
      <c r="J266" s="23" t="s">
        <v>71</v>
      </c>
      <c r="K266" s="102">
        <v>100</v>
      </c>
      <c r="L266" s="86" t="s">
        <v>604</v>
      </c>
    </row>
    <row r="267" spans="1:29" s="41" customFormat="1" ht="31.2" customHeight="1" x14ac:dyDescent="0.2">
      <c r="A267" s="111" t="s">
        <v>810</v>
      </c>
      <c r="B267" s="107" t="s">
        <v>12</v>
      </c>
      <c r="C267" s="106" t="s">
        <v>811</v>
      </c>
      <c r="D267" s="105">
        <v>2011</v>
      </c>
      <c r="E267" s="84" t="s">
        <v>14</v>
      </c>
      <c r="F267" s="84" t="s">
        <v>812</v>
      </c>
      <c r="G267" s="109" t="str">
        <f>HYPERLINK("https://www.lyellcollection.org/toc/sp/354/1")</f>
        <v>https://www.lyellcollection.org/toc/sp/354/1</v>
      </c>
      <c r="H267" s="110" t="s">
        <v>70</v>
      </c>
      <c r="I267" s="27" t="s">
        <v>2912</v>
      </c>
      <c r="J267" s="23" t="s">
        <v>71</v>
      </c>
      <c r="K267" s="102">
        <v>100</v>
      </c>
      <c r="L267" s="86" t="s">
        <v>604</v>
      </c>
    </row>
    <row r="268" spans="1:29" s="41" customFormat="1" ht="31.2" customHeight="1" x14ac:dyDescent="0.2">
      <c r="A268" s="111" t="s">
        <v>813</v>
      </c>
      <c r="B268" s="107" t="s">
        <v>12</v>
      </c>
      <c r="C268" s="106" t="s">
        <v>814</v>
      </c>
      <c r="D268" s="105">
        <v>2011</v>
      </c>
      <c r="E268" s="84" t="s">
        <v>14</v>
      </c>
      <c r="F268" s="84" t="s">
        <v>815</v>
      </c>
      <c r="G268" s="109" t="str">
        <f>HYPERLINK("https://www.lyellcollection.org/toc/sp/353/1")</f>
        <v>https://www.lyellcollection.org/toc/sp/353/1</v>
      </c>
      <c r="H268" s="110" t="s">
        <v>70</v>
      </c>
      <c r="I268" s="27" t="s">
        <v>2912</v>
      </c>
      <c r="J268" s="23" t="s">
        <v>71</v>
      </c>
      <c r="K268" s="102">
        <v>90</v>
      </c>
      <c r="L268" s="86" t="s">
        <v>604</v>
      </c>
    </row>
    <row r="269" spans="1:29" s="41" customFormat="1" ht="31.2" customHeight="1" x14ac:dyDescent="0.2">
      <c r="A269" s="111" t="s">
        <v>816</v>
      </c>
      <c r="B269" s="107" t="s">
        <v>12</v>
      </c>
      <c r="C269" s="106" t="s">
        <v>817</v>
      </c>
      <c r="D269" s="105">
        <v>2011</v>
      </c>
      <c r="E269" s="84" t="s">
        <v>14</v>
      </c>
      <c r="F269" s="84" t="s">
        <v>818</v>
      </c>
      <c r="G269" s="109" t="str">
        <f>HYPERLINK("https://www.lyellcollection.org/toc/sp/352/1")</f>
        <v>https://www.lyellcollection.org/toc/sp/352/1</v>
      </c>
      <c r="H269" s="110" t="s">
        <v>70</v>
      </c>
      <c r="I269" s="27" t="s">
        <v>2912</v>
      </c>
      <c r="J269" s="23" t="s">
        <v>71</v>
      </c>
      <c r="K269" s="102">
        <v>90</v>
      </c>
      <c r="L269" s="86" t="s">
        <v>604</v>
      </c>
      <c r="M269" s="117"/>
      <c r="N269" s="117"/>
      <c r="O269" s="117"/>
      <c r="P269" s="117"/>
      <c r="Q269" s="117"/>
      <c r="R269" s="117"/>
      <c r="S269" s="117"/>
      <c r="T269" s="117"/>
      <c r="U269" s="117"/>
      <c r="V269" s="117"/>
      <c r="W269" s="117"/>
      <c r="X269" s="117"/>
      <c r="Y269" s="117"/>
      <c r="Z269" s="117"/>
      <c r="AA269" s="117"/>
    </row>
    <row r="270" spans="1:29" s="41" customFormat="1" ht="31.2" customHeight="1" x14ac:dyDescent="0.2">
      <c r="A270" s="111" t="s">
        <v>819</v>
      </c>
      <c r="B270" s="107" t="s">
        <v>12</v>
      </c>
      <c r="C270" s="106" t="s">
        <v>820</v>
      </c>
      <c r="D270" s="105">
        <v>2011</v>
      </c>
      <c r="E270" s="84" t="s">
        <v>14</v>
      </c>
      <c r="F270" s="84" t="s">
        <v>821</v>
      </c>
      <c r="G270" s="109" t="str">
        <f>HYPERLINK("https://www.lyellcollection.org/toc/sp/351/1")</f>
        <v>https://www.lyellcollection.org/toc/sp/351/1</v>
      </c>
      <c r="H270" s="110" t="s">
        <v>70</v>
      </c>
      <c r="I270" s="27" t="s">
        <v>2912</v>
      </c>
      <c r="J270" s="23" t="s">
        <v>71</v>
      </c>
      <c r="K270" s="102">
        <v>100</v>
      </c>
      <c r="L270" s="86" t="s">
        <v>604</v>
      </c>
    </row>
    <row r="271" spans="1:29" s="41" customFormat="1" ht="31.2" customHeight="1" x14ac:dyDescent="0.2">
      <c r="A271" s="111" t="s">
        <v>822</v>
      </c>
      <c r="B271" s="107" t="s">
        <v>12</v>
      </c>
      <c r="C271" s="106" t="s">
        <v>823</v>
      </c>
      <c r="D271" s="105">
        <v>2011</v>
      </c>
      <c r="E271" s="84" t="s">
        <v>14</v>
      </c>
      <c r="F271" s="84" t="s">
        <v>824</v>
      </c>
      <c r="G271" s="109" t="str">
        <f>HYPERLINK("https://www.lyellcollection.org/toc/sp/350/1")</f>
        <v>https://www.lyellcollection.org/toc/sp/350/1</v>
      </c>
      <c r="H271" s="110" t="s">
        <v>70</v>
      </c>
      <c r="I271" s="27" t="s">
        <v>2912</v>
      </c>
      <c r="J271" s="23" t="s">
        <v>1273</v>
      </c>
      <c r="K271" s="102">
        <v>90</v>
      </c>
      <c r="L271" s="86" t="s">
        <v>604</v>
      </c>
    </row>
    <row r="272" spans="1:29" s="41" customFormat="1" ht="31.2" customHeight="1" x14ac:dyDescent="0.2">
      <c r="A272" s="111" t="s">
        <v>825</v>
      </c>
      <c r="B272" s="107" t="s">
        <v>12</v>
      </c>
      <c r="C272" s="106" t="s">
        <v>826</v>
      </c>
      <c r="D272" s="105">
        <v>2011</v>
      </c>
      <c r="E272" s="84" t="s">
        <v>14</v>
      </c>
      <c r="F272" s="84" t="s">
        <v>827</v>
      </c>
      <c r="G272" s="109" t="str">
        <f>HYPERLINK("https://www.lyellcollection.org/toc/sp/349/1")</f>
        <v>https://www.lyellcollection.org/toc/sp/349/1</v>
      </c>
      <c r="H272" s="110" t="s">
        <v>70</v>
      </c>
      <c r="I272" s="27" t="s">
        <v>2912</v>
      </c>
      <c r="J272" s="23" t="s">
        <v>71</v>
      </c>
      <c r="K272" s="102">
        <v>90</v>
      </c>
      <c r="L272" s="86" t="s">
        <v>604</v>
      </c>
    </row>
    <row r="273" spans="1:12" s="41" customFormat="1" ht="31.2" customHeight="1" x14ac:dyDescent="0.2">
      <c r="A273" s="111" t="s">
        <v>780</v>
      </c>
      <c r="B273" s="116" t="s">
        <v>690</v>
      </c>
      <c r="C273" s="106" t="s">
        <v>781</v>
      </c>
      <c r="D273" s="105">
        <v>2011</v>
      </c>
      <c r="E273" s="105" t="s">
        <v>14</v>
      </c>
      <c r="F273" s="105" t="s">
        <v>782</v>
      </c>
      <c r="G273" s="112" t="s">
        <v>79</v>
      </c>
      <c r="H273" s="191"/>
      <c r="I273" s="192"/>
      <c r="J273" s="23" t="s">
        <v>71</v>
      </c>
      <c r="K273" s="102">
        <v>140</v>
      </c>
      <c r="L273" s="53"/>
    </row>
    <row r="274" spans="1:12" s="41" customFormat="1" ht="31.2" customHeight="1" x14ac:dyDescent="0.2">
      <c r="A274" s="111" t="s">
        <v>828</v>
      </c>
      <c r="B274" s="113" t="s">
        <v>39</v>
      </c>
      <c r="C274" s="106" t="s">
        <v>829</v>
      </c>
      <c r="D274" s="105">
        <v>2011</v>
      </c>
      <c r="E274" s="84" t="s">
        <v>14</v>
      </c>
      <c r="F274" s="84" t="s">
        <v>830</v>
      </c>
      <c r="G274" s="109" t="str">
        <f>HYPERLINK("https://www.lyellcollection.org/toc/mem/36/1")</f>
        <v>https://www.lyellcollection.org/toc/mem/36/1</v>
      </c>
      <c r="H274" s="110" t="s">
        <v>70</v>
      </c>
      <c r="I274" s="27" t="s">
        <v>2912</v>
      </c>
      <c r="J274" s="23" t="s">
        <v>71</v>
      </c>
      <c r="K274" s="102">
        <v>180</v>
      </c>
      <c r="L274" s="53"/>
    </row>
    <row r="275" spans="1:12" s="41" customFormat="1" ht="31.2" customHeight="1" x14ac:dyDescent="0.2">
      <c r="A275" s="111" t="s">
        <v>831</v>
      </c>
      <c r="B275" s="113" t="s">
        <v>39</v>
      </c>
      <c r="C275" s="106" t="s">
        <v>832</v>
      </c>
      <c r="D275" s="105">
        <v>2011</v>
      </c>
      <c r="E275" s="84" t="s">
        <v>14</v>
      </c>
      <c r="F275" s="84" t="s">
        <v>833</v>
      </c>
      <c r="G275" s="109" t="str">
        <f>HYPERLINK("https://www.lyellcollection.org/toc/mem/35/1")</f>
        <v>https://www.lyellcollection.org/toc/mem/35/1</v>
      </c>
      <c r="H275" s="110" t="s">
        <v>70</v>
      </c>
      <c r="I275" s="27" t="s">
        <v>2912</v>
      </c>
      <c r="J275" s="23" t="s">
        <v>71</v>
      </c>
      <c r="K275" s="102">
        <v>200</v>
      </c>
      <c r="L275" s="53"/>
    </row>
    <row r="276" spans="1:12" s="41" customFormat="1" ht="31.2" customHeight="1" x14ac:dyDescent="0.2">
      <c r="A276" s="111" t="s">
        <v>834</v>
      </c>
      <c r="B276" s="113" t="s">
        <v>39</v>
      </c>
      <c r="C276" s="106" t="s">
        <v>835</v>
      </c>
      <c r="D276" s="105">
        <v>2011</v>
      </c>
      <c r="E276" s="84" t="s">
        <v>14</v>
      </c>
      <c r="F276" s="84" t="s">
        <v>836</v>
      </c>
      <c r="G276" s="109" t="str">
        <f>HYPERLINK("https://www.lyellcollection.org/toc/mem/34/1")</f>
        <v>https://www.lyellcollection.org/toc/mem/34/1</v>
      </c>
      <c r="H276" s="110" t="s">
        <v>70</v>
      </c>
      <c r="I276" s="27" t="s">
        <v>2912</v>
      </c>
      <c r="J276" s="23" t="s">
        <v>71</v>
      </c>
      <c r="K276" s="102">
        <v>75</v>
      </c>
      <c r="L276" s="53"/>
    </row>
    <row r="277" spans="1:12" s="41" customFormat="1" ht="31.2" customHeight="1" x14ac:dyDescent="0.2">
      <c r="A277" s="111" t="s">
        <v>783</v>
      </c>
      <c r="B277" s="106" t="s">
        <v>88</v>
      </c>
      <c r="C277" s="106" t="s">
        <v>784</v>
      </c>
      <c r="D277" s="105">
        <v>2011</v>
      </c>
      <c r="E277" s="84" t="s">
        <v>14</v>
      </c>
      <c r="F277" s="84" t="s">
        <v>785</v>
      </c>
      <c r="G277" s="177" t="s">
        <v>185</v>
      </c>
      <c r="H277" s="95" t="s">
        <v>186</v>
      </c>
      <c r="I277" s="27" t="s">
        <v>187</v>
      </c>
      <c r="J277" s="23" t="s">
        <v>71</v>
      </c>
      <c r="K277" s="102">
        <v>50</v>
      </c>
      <c r="L277" s="53"/>
    </row>
    <row r="278" spans="1:12" s="41" customFormat="1" ht="31.2" customHeight="1" x14ac:dyDescent="0.2">
      <c r="A278" s="111" t="s">
        <v>786</v>
      </c>
      <c r="B278" s="106" t="s">
        <v>88</v>
      </c>
      <c r="C278" s="106" t="s">
        <v>787</v>
      </c>
      <c r="D278" s="105">
        <v>2011</v>
      </c>
      <c r="E278" s="84" t="s">
        <v>14</v>
      </c>
      <c r="F278" s="84" t="s">
        <v>788</v>
      </c>
      <c r="G278" s="177" t="s">
        <v>185</v>
      </c>
      <c r="H278" s="95" t="s">
        <v>186</v>
      </c>
      <c r="I278" s="27" t="s">
        <v>187</v>
      </c>
      <c r="J278" s="23" t="s">
        <v>71</v>
      </c>
      <c r="K278" s="102">
        <v>100</v>
      </c>
      <c r="L278" s="53"/>
    </row>
    <row r="279" spans="1:12" s="41" customFormat="1" ht="31.2" customHeight="1" x14ac:dyDescent="0.2">
      <c r="A279" s="106" t="s">
        <v>837</v>
      </c>
      <c r="B279" s="106" t="s">
        <v>427</v>
      </c>
      <c r="C279" s="106" t="s">
        <v>838</v>
      </c>
      <c r="D279" s="105">
        <v>2010</v>
      </c>
      <c r="E279" s="105" t="s">
        <v>14</v>
      </c>
      <c r="F279" s="105" t="s">
        <v>839</v>
      </c>
      <c r="G279" s="112" t="s">
        <v>79</v>
      </c>
      <c r="H279" s="191"/>
      <c r="I279" s="192"/>
      <c r="J279" s="23" t="s">
        <v>71</v>
      </c>
      <c r="K279" s="102">
        <v>90</v>
      </c>
      <c r="L279" s="53"/>
    </row>
    <row r="280" spans="1:12" s="41" customFormat="1" ht="31.2" customHeight="1" x14ac:dyDescent="0.2">
      <c r="A280" s="111" t="s">
        <v>844</v>
      </c>
      <c r="B280" s="107" t="s">
        <v>43</v>
      </c>
      <c r="C280" s="106" t="s">
        <v>845</v>
      </c>
      <c r="D280" s="105">
        <v>2010</v>
      </c>
      <c r="E280" s="84" t="s">
        <v>14</v>
      </c>
      <c r="F280" s="105" t="s">
        <v>846</v>
      </c>
      <c r="G280" s="109" t="str">
        <f>HYPERLINK("https://www.lyellcollection.org/toc/egsp/23/1")</f>
        <v>https://www.lyellcollection.org/toc/egsp/23/1</v>
      </c>
      <c r="H280" s="110" t="s">
        <v>70</v>
      </c>
      <c r="I280" s="27" t="s">
        <v>2912</v>
      </c>
      <c r="J280" s="23" t="s">
        <v>71</v>
      </c>
      <c r="K280" s="102">
        <v>80</v>
      </c>
      <c r="L280" s="53"/>
    </row>
    <row r="281" spans="1:12" s="41" customFormat="1" ht="31.2" customHeight="1" x14ac:dyDescent="0.2">
      <c r="A281" s="111" t="s">
        <v>847</v>
      </c>
      <c r="B281" s="107" t="s">
        <v>12</v>
      </c>
      <c r="C281" s="106" t="s">
        <v>848</v>
      </c>
      <c r="D281" s="105">
        <v>2010</v>
      </c>
      <c r="E281" s="84" t="s">
        <v>14</v>
      </c>
      <c r="F281" s="84" t="s">
        <v>849</v>
      </c>
      <c r="G281" s="109" t="str">
        <f>HYPERLINK("https://www.lyellcollection.org/toc/sp/348/1")</f>
        <v>https://www.lyellcollection.org/toc/sp/348/1</v>
      </c>
      <c r="H281" s="110" t="s">
        <v>70</v>
      </c>
      <c r="I281" s="27" t="s">
        <v>2912</v>
      </c>
      <c r="J281" s="23" t="s">
        <v>71</v>
      </c>
      <c r="K281" s="102">
        <v>75</v>
      </c>
      <c r="L281" s="86" t="s">
        <v>604</v>
      </c>
    </row>
    <row r="282" spans="1:12" s="41" customFormat="1" ht="31.2" customHeight="1" x14ac:dyDescent="0.2">
      <c r="A282" s="111" t="s">
        <v>850</v>
      </c>
      <c r="B282" s="107" t="s">
        <v>12</v>
      </c>
      <c r="C282" s="106" t="s">
        <v>851</v>
      </c>
      <c r="D282" s="105">
        <v>2010</v>
      </c>
      <c r="E282" s="84" t="s">
        <v>14</v>
      </c>
      <c r="F282" s="84" t="s">
        <v>852</v>
      </c>
      <c r="G282" s="109" t="str">
        <f>HYPERLINK("https://www.lyellcollection.org/toc/sp/347/1")</f>
        <v>https://www.lyellcollection.org/toc/sp/347/1</v>
      </c>
      <c r="H282" s="110" t="s">
        <v>70</v>
      </c>
      <c r="I282" s="27" t="s">
        <v>2912</v>
      </c>
      <c r="J282" s="23" t="s">
        <v>1273</v>
      </c>
      <c r="K282" s="102">
        <v>95</v>
      </c>
      <c r="L282" s="86" t="s">
        <v>604</v>
      </c>
    </row>
    <row r="283" spans="1:12" s="41" customFormat="1" ht="31.2" customHeight="1" x14ac:dyDescent="0.2">
      <c r="A283" s="111" t="s">
        <v>853</v>
      </c>
      <c r="B283" s="107" t="s">
        <v>12</v>
      </c>
      <c r="C283" s="106" t="s">
        <v>854</v>
      </c>
      <c r="D283" s="105">
        <v>2010</v>
      </c>
      <c r="E283" s="84" t="s">
        <v>14</v>
      </c>
      <c r="F283" s="84" t="s">
        <v>855</v>
      </c>
      <c r="G283" s="109" t="str">
        <f>HYPERLINK("https://www.lyellcollection.org/toc/sp/346/1")</f>
        <v>https://www.lyellcollection.org/toc/sp/346/1</v>
      </c>
      <c r="H283" s="110" t="s">
        <v>70</v>
      </c>
      <c r="I283" s="27" t="s">
        <v>2912</v>
      </c>
      <c r="J283" s="23" t="s">
        <v>71</v>
      </c>
      <c r="K283" s="102">
        <v>90</v>
      </c>
      <c r="L283" s="86" t="s">
        <v>604</v>
      </c>
    </row>
    <row r="284" spans="1:12" s="41" customFormat="1" ht="31.2" customHeight="1" x14ac:dyDescent="0.2">
      <c r="A284" s="111" t="s">
        <v>856</v>
      </c>
      <c r="B284" s="107" t="s">
        <v>12</v>
      </c>
      <c r="C284" s="106" t="s">
        <v>857</v>
      </c>
      <c r="D284" s="105">
        <v>2010</v>
      </c>
      <c r="E284" s="84" t="s">
        <v>14</v>
      </c>
      <c r="F284" s="105" t="s">
        <v>858</v>
      </c>
      <c r="G284" s="109" t="str">
        <f>HYPERLINK("https://www.lyellcollection.org/toc/sp/345/1")</f>
        <v>https://www.lyellcollection.org/toc/sp/345/1</v>
      </c>
      <c r="H284" s="110" t="s">
        <v>70</v>
      </c>
      <c r="I284" s="27" t="s">
        <v>2912</v>
      </c>
      <c r="J284" s="23" t="s">
        <v>71</v>
      </c>
      <c r="K284" s="102">
        <v>70</v>
      </c>
      <c r="L284" s="86" t="s">
        <v>604</v>
      </c>
    </row>
    <row r="285" spans="1:12" s="41" customFormat="1" ht="31.2" customHeight="1" x14ac:dyDescent="0.2">
      <c r="A285" s="111" t="s">
        <v>859</v>
      </c>
      <c r="B285" s="107" t="s">
        <v>12</v>
      </c>
      <c r="C285" s="106" t="s">
        <v>860</v>
      </c>
      <c r="D285" s="105">
        <v>2010</v>
      </c>
      <c r="E285" s="84" t="s">
        <v>14</v>
      </c>
      <c r="F285" s="105" t="s">
        <v>861</v>
      </c>
      <c r="G285" s="109" t="str">
        <f>HYPERLINK("https://www.lyellcollection.org/toc/sp/344/1")</f>
        <v>https://www.lyellcollection.org/toc/sp/344/1</v>
      </c>
      <c r="H285" s="110" t="s">
        <v>70</v>
      </c>
      <c r="I285" s="27" t="s">
        <v>2912</v>
      </c>
      <c r="J285" s="23" t="s">
        <v>71</v>
      </c>
      <c r="K285" s="102">
        <v>95</v>
      </c>
      <c r="L285" s="86" t="s">
        <v>604</v>
      </c>
    </row>
    <row r="286" spans="1:12" s="41" customFormat="1" ht="31.2" customHeight="1" x14ac:dyDescent="0.2">
      <c r="A286" s="111" t="s">
        <v>862</v>
      </c>
      <c r="B286" s="107" t="s">
        <v>12</v>
      </c>
      <c r="C286" s="106" t="s">
        <v>863</v>
      </c>
      <c r="D286" s="105">
        <v>2010</v>
      </c>
      <c r="E286" s="84" t="s">
        <v>14</v>
      </c>
      <c r="F286" s="105" t="s">
        <v>864</v>
      </c>
      <c r="G286" s="109" t="str">
        <f>HYPERLINK("https://www.lyellcollection.org/toc/sp/343/1")</f>
        <v>https://www.lyellcollection.org/toc/sp/343/1</v>
      </c>
      <c r="H286" s="110" t="s">
        <v>70</v>
      </c>
      <c r="I286" s="27" t="s">
        <v>2912</v>
      </c>
      <c r="J286" s="23" t="s">
        <v>1273</v>
      </c>
      <c r="K286" s="102">
        <v>95</v>
      </c>
      <c r="L286" s="86" t="s">
        <v>604</v>
      </c>
    </row>
    <row r="287" spans="1:12" s="41" customFormat="1" ht="31.2" customHeight="1" x14ac:dyDescent="0.2">
      <c r="A287" s="111" t="s">
        <v>865</v>
      </c>
      <c r="B287" s="107" t="s">
        <v>12</v>
      </c>
      <c r="C287" s="106" t="s">
        <v>866</v>
      </c>
      <c r="D287" s="105">
        <v>2010</v>
      </c>
      <c r="E287" s="84" t="s">
        <v>14</v>
      </c>
      <c r="F287" s="105" t="s">
        <v>867</v>
      </c>
      <c r="G287" s="109" t="str">
        <f>HYPERLINK("https://www.lyellcollection.org/toc/sp/342/1")</f>
        <v>https://www.lyellcollection.org/toc/sp/342/1</v>
      </c>
      <c r="H287" s="110" t="s">
        <v>70</v>
      </c>
      <c r="I287" s="27" t="s">
        <v>2912</v>
      </c>
      <c r="J287" s="23" t="s">
        <v>71</v>
      </c>
      <c r="K287" s="102">
        <v>90</v>
      </c>
      <c r="L287" s="86" t="s">
        <v>604</v>
      </c>
    </row>
    <row r="288" spans="1:12" s="41" customFormat="1" ht="31.2" customHeight="1" x14ac:dyDescent="0.2">
      <c r="A288" s="111" t="s">
        <v>868</v>
      </c>
      <c r="B288" s="107" t="s">
        <v>12</v>
      </c>
      <c r="C288" s="106" t="s">
        <v>869</v>
      </c>
      <c r="D288" s="105">
        <v>2010</v>
      </c>
      <c r="E288" s="84" t="s">
        <v>14</v>
      </c>
      <c r="F288" s="105" t="s">
        <v>870</v>
      </c>
      <c r="G288" s="109" t="str">
        <f>HYPERLINK("https://www.lyellcollection.org/toc/sp/341/1")</f>
        <v>https://www.lyellcollection.org/toc/sp/341/1</v>
      </c>
      <c r="H288" s="110" t="s">
        <v>70</v>
      </c>
      <c r="I288" s="27" t="s">
        <v>2912</v>
      </c>
      <c r="J288" s="23" t="s">
        <v>71</v>
      </c>
      <c r="K288" s="102">
        <v>95</v>
      </c>
      <c r="L288" s="86" t="s">
        <v>604</v>
      </c>
    </row>
    <row r="289" spans="1:29" s="41" customFormat="1" ht="31.2" customHeight="1" x14ac:dyDescent="0.2">
      <c r="A289" s="111" t="s">
        <v>871</v>
      </c>
      <c r="B289" s="107" t="s">
        <v>12</v>
      </c>
      <c r="C289" s="106" t="s">
        <v>872</v>
      </c>
      <c r="D289" s="105">
        <v>2010</v>
      </c>
      <c r="E289" s="84" t="s">
        <v>14</v>
      </c>
      <c r="F289" s="105" t="s">
        <v>873</v>
      </c>
      <c r="G289" s="109" t="str">
        <f>HYPERLINK("https://www.lyellcollection.org/toc/sp/340/1")</f>
        <v>https://www.lyellcollection.org/toc/sp/340/1</v>
      </c>
      <c r="H289" s="110" t="s">
        <v>70</v>
      </c>
      <c r="I289" s="27" t="s">
        <v>2912</v>
      </c>
      <c r="J289" s="23" t="s">
        <v>1273</v>
      </c>
      <c r="K289" s="102">
        <v>100</v>
      </c>
      <c r="L289" s="86" t="s">
        <v>604</v>
      </c>
    </row>
    <row r="290" spans="1:29" s="41" customFormat="1" ht="31.2" customHeight="1" x14ac:dyDescent="0.2">
      <c r="A290" s="111" t="s">
        <v>874</v>
      </c>
      <c r="B290" s="107" t="s">
        <v>12</v>
      </c>
      <c r="C290" s="106" t="s">
        <v>875</v>
      </c>
      <c r="D290" s="105">
        <v>2010</v>
      </c>
      <c r="E290" s="84" t="s">
        <v>14</v>
      </c>
      <c r="F290" s="105" t="s">
        <v>876</v>
      </c>
      <c r="G290" s="109" t="str">
        <f>HYPERLINK("https://www.lyellcollection.org/toc/sp/339/1")</f>
        <v>https://www.lyellcollection.org/toc/sp/339/1</v>
      </c>
      <c r="H290" s="110" t="s">
        <v>70</v>
      </c>
      <c r="I290" s="27" t="s">
        <v>2912</v>
      </c>
      <c r="J290" s="23" t="s">
        <v>71</v>
      </c>
      <c r="K290" s="102">
        <v>75</v>
      </c>
      <c r="L290" s="86" t="s">
        <v>604</v>
      </c>
    </row>
    <row r="291" spans="1:29" s="41" customFormat="1" ht="31.2" customHeight="1" x14ac:dyDescent="0.2">
      <c r="A291" s="111" t="s">
        <v>877</v>
      </c>
      <c r="B291" s="107" t="s">
        <v>12</v>
      </c>
      <c r="C291" s="106" t="s">
        <v>878</v>
      </c>
      <c r="D291" s="105">
        <v>2010</v>
      </c>
      <c r="E291" s="84" t="s">
        <v>14</v>
      </c>
      <c r="F291" s="105" t="s">
        <v>879</v>
      </c>
      <c r="G291" s="109" t="str">
        <f>HYPERLINK("https://www.lyellcollection.org/toc/sp/338/1")</f>
        <v>https://www.lyellcollection.org/toc/sp/338/1</v>
      </c>
      <c r="H291" s="110" t="s">
        <v>70</v>
      </c>
      <c r="I291" s="27" t="s">
        <v>2912</v>
      </c>
      <c r="J291" s="23" t="s">
        <v>71</v>
      </c>
      <c r="K291" s="102">
        <v>100</v>
      </c>
      <c r="L291" s="86" t="s">
        <v>604</v>
      </c>
    </row>
    <row r="292" spans="1:29" s="41" customFormat="1" ht="31.2" customHeight="1" x14ac:dyDescent="0.2">
      <c r="A292" s="111" t="s">
        <v>880</v>
      </c>
      <c r="B292" s="107" t="s">
        <v>12</v>
      </c>
      <c r="C292" s="106" t="s">
        <v>881</v>
      </c>
      <c r="D292" s="105">
        <v>2010</v>
      </c>
      <c r="E292" s="84" t="s">
        <v>14</v>
      </c>
      <c r="F292" s="105" t="s">
        <v>882</v>
      </c>
      <c r="G292" s="109" t="str">
        <f>HYPERLINK("https://www.lyellcollection.org/toc/sp/337/1")</f>
        <v>https://www.lyellcollection.org/toc/sp/337/1</v>
      </c>
      <c r="H292" s="110" t="s">
        <v>70</v>
      </c>
      <c r="I292" s="27" t="s">
        <v>2912</v>
      </c>
      <c r="J292" s="23" t="s">
        <v>1273</v>
      </c>
      <c r="K292" s="102">
        <v>85</v>
      </c>
      <c r="L292" s="86" t="s">
        <v>604</v>
      </c>
    </row>
    <row r="293" spans="1:29" s="41" customFormat="1" ht="31.2" customHeight="1" x14ac:dyDescent="0.2">
      <c r="A293" s="111" t="s">
        <v>883</v>
      </c>
      <c r="B293" s="107" t="s">
        <v>12</v>
      </c>
      <c r="C293" s="106" t="s">
        <v>884</v>
      </c>
      <c r="D293" s="105">
        <v>2010</v>
      </c>
      <c r="E293" s="84" t="s">
        <v>14</v>
      </c>
      <c r="F293" s="105" t="s">
        <v>885</v>
      </c>
      <c r="G293" s="109" t="str">
        <f>HYPERLINK("https://www.lyellcollection.org/toc/sp/336/1")</f>
        <v>https://www.lyellcollection.org/toc/sp/336/1</v>
      </c>
      <c r="H293" s="110" t="s">
        <v>70</v>
      </c>
      <c r="I293" s="27" t="s">
        <v>2912</v>
      </c>
      <c r="J293" s="23" t="s">
        <v>71</v>
      </c>
      <c r="K293" s="102">
        <v>90</v>
      </c>
      <c r="L293" s="86" t="s">
        <v>604</v>
      </c>
    </row>
    <row r="294" spans="1:29" s="41" customFormat="1" ht="31.2" customHeight="1" x14ac:dyDescent="0.2">
      <c r="A294" s="111" t="s">
        <v>886</v>
      </c>
      <c r="B294" s="107" t="s">
        <v>12</v>
      </c>
      <c r="C294" s="106" t="s">
        <v>887</v>
      </c>
      <c r="D294" s="105">
        <v>2010</v>
      </c>
      <c r="E294" s="84" t="s">
        <v>14</v>
      </c>
      <c r="F294" s="105" t="s">
        <v>888</v>
      </c>
      <c r="G294" s="109" t="str">
        <f>HYPERLINK("https://www.lyellcollection.org/toc/sp/335/1")</f>
        <v>https://www.lyellcollection.org/toc/sp/335/1</v>
      </c>
      <c r="H294" s="110" t="s">
        <v>70</v>
      </c>
      <c r="I294" s="27" t="s">
        <v>2912</v>
      </c>
      <c r="J294" s="23" t="s">
        <v>1273</v>
      </c>
      <c r="K294" s="102">
        <v>160</v>
      </c>
      <c r="L294" s="86" t="s">
        <v>604</v>
      </c>
    </row>
    <row r="295" spans="1:29" s="41" customFormat="1" ht="31.2" customHeight="1" x14ac:dyDescent="0.2">
      <c r="A295" s="111" t="s">
        <v>889</v>
      </c>
      <c r="B295" s="107" t="s">
        <v>12</v>
      </c>
      <c r="C295" s="106" t="s">
        <v>890</v>
      </c>
      <c r="D295" s="105">
        <v>2010</v>
      </c>
      <c r="E295" s="84" t="s">
        <v>14</v>
      </c>
      <c r="F295" s="105" t="s">
        <v>891</v>
      </c>
      <c r="G295" s="109" t="str">
        <f>HYPERLINK("https://www.lyellcollection.org/toc/sp/334/1")</f>
        <v>https://www.lyellcollection.org/toc/sp/334/1</v>
      </c>
      <c r="H295" s="110" t="s">
        <v>70</v>
      </c>
      <c r="I295" s="27" t="s">
        <v>2912</v>
      </c>
      <c r="J295" s="23" t="s">
        <v>71</v>
      </c>
      <c r="K295" s="102">
        <v>120</v>
      </c>
      <c r="L295" s="86" t="s">
        <v>604</v>
      </c>
    </row>
    <row r="296" spans="1:29" s="41" customFormat="1" ht="31.2" customHeight="1" x14ac:dyDescent="0.2">
      <c r="A296" s="111" t="s">
        <v>892</v>
      </c>
      <c r="B296" s="107" t="s">
        <v>12</v>
      </c>
      <c r="C296" s="106" t="s">
        <v>893</v>
      </c>
      <c r="D296" s="105">
        <v>2010</v>
      </c>
      <c r="E296" s="84" t="s">
        <v>14</v>
      </c>
      <c r="F296" s="105" t="s">
        <v>894</v>
      </c>
      <c r="G296" s="109" t="str">
        <f>HYPERLINK("https://www.lyellcollection.org/toc/sp/333/1")</f>
        <v>https://www.lyellcollection.org/toc/sp/333/1</v>
      </c>
      <c r="H296" s="110" t="s">
        <v>70</v>
      </c>
      <c r="I296" s="27" t="s">
        <v>2912</v>
      </c>
      <c r="J296" s="23" t="s">
        <v>71</v>
      </c>
      <c r="K296" s="102">
        <v>80</v>
      </c>
      <c r="L296" s="86" t="s">
        <v>604</v>
      </c>
    </row>
    <row r="297" spans="1:29" s="41" customFormat="1" ht="31.2" customHeight="1" x14ac:dyDescent="0.2">
      <c r="A297" s="111" t="s">
        <v>895</v>
      </c>
      <c r="B297" s="107" t="s">
        <v>12</v>
      </c>
      <c r="C297" s="106" t="s">
        <v>896</v>
      </c>
      <c r="D297" s="105">
        <v>2010</v>
      </c>
      <c r="E297" s="84" t="s">
        <v>14</v>
      </c>
      <c r="F297" s="84" t="s">
        <v>897</v>
      </c>
      <c r="G297" s="109" t="str">
        <f>HYPERLINK("https://www.lyellcollection.org/toc/sp/332/1")</f>
        <v>https://www.lyellcollection.org/toc/sp/332/1</v>
      </c>
      <c r="H297" s="110" t="s">
        <v>70</v>
      </c>
      <c r="I297" s="27" t="s">
        <v>2912</v>
      </c>
      <c r="J297" s="23" t="s">
        <v>71</v>
      </c>
      <c r="K297" s="102">
        <v>85</v>
      </c>
      <c r="L297" s="86" t="s">
        <v>604</v>
      </c>
    </row>
    <row r="298" spans="1:29" s="41" customFormat="1" ht="31.2" customHeight="1" x14ac:dyDescent="0.2">
      <c r="A298" s="111" t="s">
        <v>898</v>
      </c>
      <c r="B298" s="107" t="s">
        <v>12</v>
      </c>
      <c r="C298" s="106" t="s">
        <v>899</v>
      </c>
      <c r="D298" s="105">
        <v>2010</v>
      </c>
      <c r="E298" s="105" t="s">
        <v>14</v>
      </c>
      <c r="F298" s="105" t="s">
        <v>900</v>
      </c>
      <c r="G298" s="109" t="str">
        <f>HYPERLINK("https://www.lyellcollection.org/toc/sp/331/1")</f>
        <v>https://www.lyellcollection.org/toc/sp/331/1</v>
      </c>
      <c r="H298" s="110" t="s">
        <v>70</v>
      </c>
      <c r="I298" s="27" t="s">
        <v>2912</v>
      </c>
      <c r="J298" s="23" t="s">
        <v>71</v>
      </c>
      <c r="K298" s="102">
        <v>85</v>
      </c>
      <c r="L298" s="86" t="s">
        <v>604</v>
      </c>
    </row>
    <row r="299" spans="1:29" s="41" customFormat="1" ht="31.2" customHeight="1" x14ac:dyDescent="0.2">
      <c r="A299" s="111" t="s">
        <v>901</v>
      </c>
      <c r="B299" s="107" t="s">
        <v>12</v>
      </c>
      <c r="C299" s="106" t="s">
        <v>902</v>
      </c>
      <c r="D299" s="105">
        <v>2010</v>
      </c>
      <c r="E299" s="105" t="s">
        <v>14</v>
      </c>
      <c r="F299" s="105" t="s">
        <v>903</v>
      </c>
      <c r="G299" s="109" t="str">
        <f>HYPERLINK("https://www.lyellcollection.org/toc/sp/330/1")</f>
        <v>https://www.lyellcollection.org/toc/sp/330/1</v>
      </c>
      <c r="H299" s="110" t="s">
        <v>70</v>
      </c>
      <c r="I299" s="27" t="s">
        <v>2912</v>
      </c>
      <c r="J299" s="23" t="s">
        <v>71</v>
      </c>
      <c r="K299" s="102">
        <v>47.5</v>
      </c>
      <c r="L299" s="86" t="s">
        <v>604</v>
      </c>
    </row>
    <row r="300" spans="1:29" s="41" customFormat="1" ht="31.2" customHeight="1" x14ac:dyDescent="0.2">
      <c r="A300" s="111" t="s">
        <v>904</v>
      </c>
      <c r="B300" s="107" t="s">
        <v>12</v>
      </c>
      <c r="C300" s="106" t="s">
        <v>905</v>
      </c>
      <c r="D300" s="105">
        <v>2010</v>
      </c>
      <c r="E300" s="105" t="s">
        <v>14</v>
      </c>
      <c r="F300" s="105" t="s">
        <v>906</v>
      </c>
      <c r="G300" s="109" t="str">
        <f>HYPERLINK("https://www.lyellcollection.org/toc/sp/329/1")</f>
        <v>https://www.lyellcollection.org/toc/sp/329/1</v>
      </c>
      <c r="H300" s="110" t="s">
        <v>70</v>
      </c>
      <c r="I300" s="27" t="s">
        <v>2912</v>
      </c>
      <c r="J300" s="23" t="s">
        <v>71</v>
      </c>
      <c r="K300" s="102">
        <v>110</v>
      </c>
      <c r="L300" s="86" t="s">
        <v>604</v>
      </c>
      <c r="AB300" s="117"/>
      <c r="AC300" s="117"/>
    </row>
    <row r="301" spans="1:29" s="41" customFormat="1" ht="31.2" customHeight="1" x14ac:dyDescent="0.2">
      <c r="A301" s="111" t="s">
        <v>907</v>
      </c>
      <c r="B301" s="107" t="s">
        <v>423</v>
      </c>
      <c r="C301" s="106" t="s">
        <v>908</v>
      </c>
      <c r="D301" s="105">
        <v>2010</v>
      </c>
      <c r="E301" s="105" t="s">
        <v>14</v>
      </c>
      <c r="F301" s="105" t="s">
        <v>909</v>
      </c>
      <c r="G301" s="109" t="str">
        <f>HYPERLINK("https://www.lyellcollection.org/toc/pgc/7/1")</f>
        <v>https://www.lyellcollection.org/toc/pgc/7/1</v>
      </c>
      <c r="H301" s="110" t="s">
        <v>70</v>
      </c>
      <c r="I301" s="27" t="s">
        <v>2912</v>
      </c>
      <c r="J301" s="23" t="s">
        <v>71</v>
      </c>
      <c r="K301" s="102">
        <v>200</v>
      </c>
      <c r="L301" s="53"/>
    </row>
    <row r="302" spans="1:29" s="41" customFormat="1" ht="31.2" customHeight="1" x14ac:dyDescent="0.2">
      <c r="A302" s="111" t="s">
        <v>840</v>
      </c>
      <c r="B302" s="106" t="s">
        <v>841</v>
      </c>
      <c r="C302" s="106" t="s">
        <v>842</v>
      </c>
      <c r="D302" s="105">
        <v>2010</v>
      </c>
      <c r="E302" s="105" t="s">
        <v>14</v>
      </c>
      <c r="F302" s="105" t="s">
        <v>843</v>
      </c>
      <c r="G302" s="112" t="s">
        <v>79</v>
      </c>
      <c r="H302" s="191"/>
      <c r="I302" s="192"/>
      <c r="J302" s="23" t="s">
        <v>71</v>
      </c>
      <c r="K302" s="102">
        <v>95</v>
      </c>
      <c r="L302" s="53"/>
    </row>
    <row r="303" spans="1:29" s="41" customFormat="1" ht="31.2" customHeight="1" x14ac:dyDescent="0.2">
      <c r="A303" s="106" t="s">
        <v>910</v>
      </c>
      <c r="B303" s="106" t="s">
        <v>427</v>
      </c>
      <c r="C303" s="106" t="s">
        <v>911</v>
      </c>
      <c r="D303" s="105">
        <v>2009</v>
      </c>
      <c r="E303" s="105" t="s">
        <v>14</v>
      </c>
      <c r="F303" s="105" t="s">
        <v>912</v>
      </c>
      <c r="G303" s="112" t="s">
        <v>79</v>
      </c>
      <c r="H303" s="191"/>
      <c r="I303" s="192"/>
      <c r="J303" s="23" t="s">
        <v>71</v>
      </c>
      <c r="K303" s="102">
        <v>100</v>
      </c>
      <c r="L303" s="53"/>
    </row>
    <row r="304" spans="1:29" s="41" customFormat="1" ht="31.2" customHeight="1" x14ac:dyDescent="0.2">
      <c r="A304" s="111" t="s">
        <v>920</v>
      </c>
      <c r="B304" s="107" t="s">
        <v>43</v>
      </c>
      <c r="C304" s="106" t="s">
        <v>921</v>
      </c>
      <c r="D304" s="105">
        <v>2009</v>
      </c>
      <c r="E304" s="84" t="s">
        <v>14</v>
      </c>
      <c r="F304" s="84" t="s">
        <v>922</v>
      </c>
      <c r="G304" s="109" t="str">
        <f>HYPERLINK("https://www.lyellcollection.org/toc/egsp/22/1")</f>
        <v>https://www.lyellcollection.org/toc/egsp/22/1</v>
      </c>
      <c r="H304" s="110" t="s">
        <v>70</v>
      </c>
      <c r="I304" s="27" t="s">
        <v>2912</v>
      </c>
      <c r="J304" s="23" t="s">
        <v>71</v>
      </c>
      <c r="K304" s="102">
        <v>95</v>
      </c>
      <c r="L304" s="53"/>
    </row>
    <row r="305" spans="1:12" s="41" customFormat="1" ht="31.2" customHeight="1" x14ac:dyDescent="0.2">
      <c r="A305" s="111" t="s">
        <v>923</v>
      </c>
      <c r="B305" s="107" t="s">
        <v>12</v>
      </c>
      <c r="C305" s="106" t="s">
        <v>924</v>
      </c>
      <c r="D305" s="105">
        <v>2009</v>
      </c>
      <c r="E305" s="105" t="s">
        <v>14</v>
      </c>
      <c r="F305" s="105" t="s">
        <v>925</v>
      </c>
      <c r="G305" s="109" t="str">
        <f>HYPERLINK("https://www.lyellcollection.org/toc/sp/328/1")</f>
        <v>https://www.lyellcollection.org/toc/sp/328/1</v>
      </c>
      <c r="H305" s="110" t="s">
        <v>70</v>
      </c>
      <c r="I305" s="27" t="s">
        <v>2912</v>
      </c>
      <c r="J305" s="23" t="s">
        <v>71</v>
      </c>
      <c r="K305" s="102">
        <v>70</v>
      </c>
      <c r="L305" s="86" t="s">
        <v>604</v>
      </c>
    </row>
    <row r="306" spans="1:12" s="41" customFormat="1" ht="31.2" customHeight="1" x14ac:dyDescent="0.2">
      <c r="A306" s="111" t="s">
        <v>926</v>
      </c>
      <c r="B306" s="107" t="s">
        <v>12</v>
      </c>
      <c r="C306" s="106" t="s">
        <v>927</v>
      </c>
      <c r="D306" s="105">
        <v>2009</v>
      </c>
      <c r="E306" s="105" t="s">
        <v>14</v>
      </c>
      <c r="F306" s="105" t="s">
        <v>928</v>
      </c>
      <c r="G306" s="109" t="str">
        <f>HYPERLINK("https://www.lyellcollection.org/toc/sp/327/1")</f>
        <v>https://www.lyellcollection.org/toc/sp/327/1</v>
      </c>
      <c r="H306" s="110" t="s">
        <v>70</v>
      </c>
      <c r="I306" s="27" t="s">
        <v>2912</v>
      </c>
      <c r="J306" s="23" t="s">
        <v>1273</v>
      </c>
      <c r="K306" s="102">
        <v>47.5</v>
      </c>
      <c r="L306" s="86" t="s">
        <v>604</v>
      </c>
    </row>
    <row r="307" spans="1:12" s="41" customFormat="1" ht="31.2" customHeight="1" x14ac:dyDescent="0.2">
      <c r="A307" s="111" t="s">
        <v>929</v>
      </c>
      <c r="B307" s="107" t="s">
        <v>12</v>
      </c>
      <c r="C307" s="106" t="s">
        <v>930</v>
      </c>
      <c r="D307" s="105">
        <v>2009</v>
      </c>
      <c r="E307" s="105" t="s">
        <v>14</v>
      </c>
      <c r="F307" s="105" t="s">
        <v>931</v>
      </c>
      <c r="G307" s="109" t="str">
        <f>HYPERLINK("https://www.lyellcollection.org/toc/sp/326/1")</f>
        <v>https://www.lyellcollection.org/toc/sp/326/1</v>
      </c>
      <c r="H307" s="110" t="s">
        <v>70</v>
      </c>
      <c r="I307" s="27" t="s">
        <v>2912</v>
      </c>
      <c r="J307" s="23" t="s">
        <v>1273</v>
      </c>
      <c r="K307" s="102">
        <v>42.5</v>
      </c>
      <c r="L307" s="86" t="s">
        <v>604</v>
      </c>
    </row>
    <row r="308" spans="1:12" s="41" customFormat="1" ht="31.2" customHeight="1" x14ac:dyDescent="0.2">
      <c r="A308" s="111" t="s">
        <v>932</v>
      </c>
      <c r="B308" s="107" t="s">
        <v>12</v>
      </c>
      <c r="C308" s="106" t="s">
        <v>933</v>
      </c>
      <c r="D308" s="105">
        <v>2009</v>
      </c>
      <c r="E308" s="105" t="s">
        <v>14</v>
      </c>
      <c r="F308" s="84" t="s">
        <v>934</v>
      </c>
      <c r="G308" s="109" t="str">
        <f>HYPERLINK("https://www.lyellcollection.org/toc/sp/325/1")</f>
        <v>https://www.lyellcollection.org/toc/sp/325/1</v>
      </c>
      <c r="H308" s="110" t="s">
        <v>70</v>
      </c>
      <c r="I308" s="27" t="s">
        <v>2912</v>
      </c>
      <c r="J308" s="23" t="s">
        <v>1273</v>
      </c>
      <c r="K308" s="102">
        <v>85</v>
      </c>
      <c r="L308" s="86" t="s">
        <v>604</v>
      </c>
    </row>
    <row r="309" spans="1:12" s="41" customFormat="1" ht="31.2" customHeight="1" x14ac:dyDescent="0.2">
      <c r="A309" s="111" t="s">
        <v>935</v>
      </c>
      <c r="B309" s="107" t="s">
        <v>12</v>
      </c>
      <c r="C309" s="106" t="s">
        <v>936</v>
      </c>
      <c r="D309" s="105">
        <v>2009</v>
      </c>
      <c r="E309" s="105" t="s">
        <v>14</v>
      </c>
      <c r="F309" s="105" t="s">
        <v>937</v>
      </c>
      <c r="G309" s="109" t="str">
        <f>HYPERLINK("https://www.lyellcollection.org/toc/sp/324/1")</f>
        <v>https://www.lyellcollection.org/toc/sp/324/1</v>
      </c>
      <c r="H309" s="110" t="s">
        <v>70</v>
      </c>
      <c r="I309" s="27" t="s">
        <v>2912</v>
      </c>
      <c r="J309" s="23" t="s">
        <v>1273</v>
      </c>
      <c r="K309" s="102">
        <v>100</v>
      </c>
      <c r="L309" s="86" t="s">
        <v>604</v>
      </c>
    </row>
    <row r="310" spans="1:12" s="41" customFormat="1" ht="31.2" customHeight="1" x14ac:dyDescent="0.2">
      <c r="A310" s="111" t="s">
        <v>938</v>
      </c>
      <c r="B310" s="107" t="s">
        <v>12</v>
      </c>
      <c r="C310" s="106" t="s">
        <v>939</v>
      </c>
      <c r="D310" s="105">
        <v>2009</v>
      </c>
      <c r="E310" s="105" t="s">
        <v>14</v>
      </c>
      <c r="F310" s="105" t="s">
        <v>940</v>
      </c>
      <c r="G310" s="109" t="str">
        <f>HYPERLINK("https://www.lyellcollection.org/toc/sp/323/1")</f>
        <v>https://www.lyellcollection.org/toc/sp/323/1</v>
      </c>
      <c r="H310" s="110" t="s">
        <v>70</v>
      </c>
      <c r="I310" s="27" t="s">
        <v>2912</v>
      </c>
      <c r="J310" s="23" t="s">
        <v>71</v>
      </c>
      <c r="K310" s="102">
        <v>100</v>
      </c>
      <c r="L310" s="86" t="s">
        <v>604</v>
      </c>
    </row>
    <row r="311" spans="1:12" s="41" customFormat="1" ht="31.2" customHeight="1" x14ac:dyDescent="0.2">
      <c r="A311" s="111" t="s">
        <v>941</v>
      </c>
      <c r="B311" s="107" t="s">
        <v>12</v>
      </c>
      <c r="C311" s="106" t="s">
        <v>942</v>
      </c>
      <c r="D311" s="105">
        <v>2009</v>
      </c>
      <c r="E311" s="105" t="s">
        <v>14</v>
      </c>
      <c r="F311" s="105" t="s">
        <v>943</v>
      </c>
      <c r="G311" s="109" t="str">
        <f>HYPERLINK("https://www.lyellcollection.org/toc/sp/322/1")</f>
        <v>https://www.lyellcollection.org/toc/sp/322/1</v>
      </c>
      <c r="H311" s="110" t="s">
        <v>70</v>
      </c>
      <c r="I311" s="27" t="s">
        <v>2912</v>
      </c>
      <c r="J311" s="23" t="s">
        <v>71</v>
      </c>
      <c r="K311" s="102">
        <v>80</v>
      </c>
      <c r="L311" s="86" t="s">
        <v>604</v>
      </c>
    </row>
    <row r="312" spans="1:12" s="41" customFormat="1" ht="31.2" customHeight="1" x14ac:dyDescent="0.2">
      <c r="A312" s="111" t="s">
        <v>944</v>
      </c>
      <c r="B312" s="107" t="s">
        <v>12</v>
      </c>
      <c r="C312" s="106" t="s">
        <v>945</v>
      </c>
      <c r="D312" s="105">
        <v>2009</v>
      </c>
      <c r="E312" s="105" t="s">
        <v>14</v>
      </c>
      <c r="F312" s="105" t="s">
        <v>946</v>
      </c>
      <c r="G312" s="109" t="str">
        <f>HYPERLINK("https://www.lyellcollection.org/toc/sp/321/1")</f>
        <v>https://www.lyellcollection.org/toc/sp/321/1</v>
      </c>
      <c r="H312" s="110" t="s">
        <v>70</v>
      </c>
      <c r="I312" s="27" t="s">
        <v>2912</v>
      </c>
      <c r="J312" s="23" t="s">
        <v>1273</v>
      </c>
      <c r="K312" s="102">
        <v>45</v>
      </c>
      <c r="L312" s="86" t="s">
        <v>604</v>
      </c>
    </row>
    <row r="313" spans="1:12" s="41" customFormat="1" ht="31.2" customHeight="1" x14ac:dyDescent="0.2">
      <c r="A313" s="111" t="s">
        <v>947</v>
      </c>
      <c r="B313" s="107" t="s">
        <v>12</v>
      </c>
      <c r="C313" s="106" t="s">
        <v>948</v>
      </c>
      <c r="D313" s="105">
        <v>2009</v>
      </c>
      <c r="E313" s="105" t="s">
        <v>14</v>
      </c>
      <c r="F313" s="105" t="s">
        <v>949</v>
      </c>
      <c r="G313" s="109" t="str">
        <f>HYPERLINK("https://www.lyellcollection.org/toc/sp/320/1")</f>
        <v>https://www.lyellcollection.org/toc/sp/320/1</v>
      </c>
      <c r="H313" s="110" t="s">
        <v>70</v>
      </c>
      <c r="I313" s="27" t="s">
        <v>2912</v>
      </c>
      <c r="J313" s="23" t="s">
        <v>71</v>
      </c>
      <c r="K313" s="102">
        <v>90</v>
      </c>
      <c r="L313" s="86" t="s">
        <v>604</v>
      </c>
    </row>
    <row r="314" spans="1:12" s="41" customFormat="1" ht="31.2" customHeight="1" x14ac:dyDescent="0.2">
      <c r="A314" s="111" t="s">
        <v>950</v>
      </c>
      <c r="B314" s="107" t="s">
        <v>12</v>
      </c>
      <c r="C314" s="106" t="s">
        <v>951</v>
      </c>
      <c r="D314" s="105">
        <v>2009</v>
      </c>
      <c r="E314" s="105" t="s">
        <v>14</v>
      </c>
      <c r="F314" s="84" t="s">
        <v>952</v>
      </c>
      <c r="G314" s="109" t="str">
        <f>HYPERLINK("https://www.lyellcollection.org/toc/sp/319/1")</f>
        <v>https://www.lyellcollection.org/toc/sp/319/1</v>
      </c>
      <c r="H314" s="110" t="s">
        <v>70</v>
      </c>
      <c r="I314" s="27" t="s">
        <v>2912</v>
      </c>
      <c r="J314" s="23" t="s">
        <v>1273</v>
      </c>
      <c r="K314" s="102">
        <v>80</v>
      </c>
      <c r="L314" s="86" t="s">
        <v>604</v>
      </c>
    </row>
    <row r="315" spans="1:12" s="41" customFormat="1" ht="31.2" customHeight="1" x14ac:dyDescent="0.2">
      <c r="A315" s="111" t="s">
        <v>953</v>
      </c>
      <c r="B315" s="107" t="s">
        <v>12</v>
      </c>
      <c r="C315" s="106" t="s">
        <v>954</v>
      </c>
      <c r="D315" s="105">
        <v>2009</v>
      </c>
      <c r="E315" s="105" t="s">
        <v>14</v>
      </c>
      <c r="F315" s="105" t="s">
        <v>955</v>
      </c>
      <c r="G315" s="109" t="str">
        <f>HYPERLINK("https://www.lyellcollection.org/toc/sp/318/1")</f>
        <v>https://www.lyellcollection.org/toc/sp/318/1</v>
      </c>
      <c r="H315" s="110" t="s">
        <v>70</v>
      </c>
      <c r="I315" s="27" t="s">
        <v>2912</v>
      </c>
      <c r="J315" s="23" t="s">
        <v>71</v>
      </c>
      <c r="K315" s="102">
        <v>95</v>
      </c>
      <c r="L315" s="86" t="s">
        <v>604</v>
      </c>
    </row>
    <row r="316" spans="1:12" s="41" customFormat="1" ht="31.2" customHeight="1" x14ac:dyDescent="0.2">
      <c r="A316" s="111" t="s">
        <v>956</v>
      </c>
      <c r="B316" s="107" t="s">
        <v>12</v>
      </c>
      <c r="C316" s="106" t="s">
        <v>957</v>
      </c>
      <c r="D316" s="105">
        <v>2009</v>
      </c>
      <c r="E316" s="105" t="s">
        <v>14</v>
      </c>
      <c r="F316" s="84" t="s">
        <v>958</v>
      </c>
      <c r="G316" s="109" t="str">
        <f>HYPERLINK("https://www.lyellcollection.org/toc/sp/317/1")</f>
        <v>https://www.lyellcollection.org/toc/sp/317/1</v>
      </c>
      <c r="H316" s="110" t="s">
        <v>70</v>
      </c>
      <c r="I316" s="27" t="s">
        <v>2912</v>
      </c>
      <c r="J316" s="23" t="s">
        <v>71</v>
      </c>
      <c r="K316" s="102">
        <v>120</v>
      </c>
      <c r="L316" s="86" t="s">
        <v>604</v>
      </c>
    </row>
    <row r="317" spans="1:12" s="41" customFormat="1" ht="31.2" customHeight="1" x14ac:dyDescent="0.2">
      <c r="A317" s="111" t="s">
        <v>959</v>
      </c>
      <c r="B317" s="107" t="s">
        <v>12</v>
      </c>
      <c r="C317" s="106" t="s">
        <v>960</v>
      </c>
      <c r="D317" s="105">
        <v>2009</v>
      </c>
      <c r="E317" s="105" t="s">
        <v>14</v>
      </c>
      <c r="F317" s="105" t="s">
        <v>961</v>
      </c>
      <c r="G317" s="109" t="str">
        <f>HYPERLINK("https://www.lyellcollection.org/toc/sp/316/1")</f>
        <v>https://www.lyellcollection.org/toc/sp/316/1</v>
      </c>
      <c r="H317" s="110" t="s">
        <v>70</v>
      </c>
      <c r="I317" s="27" t="s">
        <v>2912</v>
      </c>
      <c r="J317" s="23" t="s">
        <v>1273</v>
      </c>
      <c r="K317" s="102">
        <v>90</v>
      </c>
      <c r="L317" s="86" t="s">
        <v>604</v>
      </c>
    </row>
    <row r="318" spans="1:12" s="41" customFormat="1" ht="31.2" customHeight="1" x14ac:dyDescent="0.2">
      <c r="A318" s="111" t="s">
        <v>962</v>
      </c>
      <c r="B318" s="107" t="s">
        <v>12</v>
      </c>
      <c r="C318" s="106" t="s">
        <v>963</v>
      </c>
      <c r="D318" s="105">
        <v>2009</v>
      </c>
      <c r="E318" s="105" t="s">
        <v>14</v>
      </c>
      <c r="F318" s="105" t="s">
        <v>964</v>
      </c>
      <c r="G318" s="109" t="str">
        <f>HYPERLINK("https://www.lyellcollection.org/toc/sp/315/1")</f>
        <v>https://www.lyellcollection.org/toc/sp/315/1</v>
      </c>
      <c r="H318" s="110" t="s">
        <v>70</v>
      </c>
      <c r="I318" s="27" t="s">
        <v>2912</v>
      </c>
      <c r="J318" s="23" t="s">
        <v>71</v>
      </c>
      <c r="K318" s="102">
        <v>95</v>
      </c>
      <c r="L318" s="86" t="s">
        <v>604</v>
      </c>
    </row>
    <row r="319" spans="1:12" s="41" customFormat="1" ht="31.2" customHeight="1" x14ac:dyDescent="0.2">
      <c r="A319" s="111" t="s">
        <v>965</v>
      </c>
      <c r="B319" s="107" t="s">
        <v>12</v>
      </c>
      <c r="C319" s="106" t="s">
        <v>966</v>
      </c>
      <c r="D319" s="105">
        <v>2009</v>
      </c>
      <c r="E319" s="105" t="s">
        <v>14</v>
      </c>
      <c r="F319" s="105" t="s">
        <v>967</v>
      </c>
      <c r="G319" s="109" t="str">
        <f>HYPERLINK("https://www.lyellcollection.org/toc/sp/314/1")</f>
        <v>https://www.lyellcollection.org/toc/sp/314/1</v>
      </c>
      <c r="H319" s="110" t="s">
        <v>70</v>
      </c>
      <c r="I319" s="27" t="s">
        <v>2912</v>
      </c>
      <c r="J319" s="23" t="s">
        <v>71</v>
      </c>
      <c r="K319" s="102">
        <v>95</v>
      </c>
      <c r="L319" s="86" t="s">
        <v>604</v>
      </c>
    </row>
    <row r="320" spans="1:12" s="41" customFormat="1" ht="31.2" customHeight="1" x14ac:dyDescent="0.2">
      <c r="A320" s="111" t="s">
        <v>968</v>
      </c>
      <c r="B320" s="107" t="s">
        <v>12</v>
      </c>
      <c r="C320" s="106" t="s">
        <v>969</v>
      </c>
      <c r="D320" s="105">
        <v>2009</v>
      </c>
      <c r="E320" s="23" t="s">
        <v>14</v>
      </c>
      <c r="F320" s="84" t="s">
        <v>970</v>
      </c>
      <c r="G320" s="109" t="str">
        <f>HYPERLINK("https://www.lyellcollection.org/toc/sp/313/1")</f>
        <v>https://www.lyellcollection.org/toc/sp/313/1</v>
      </c>
      <c r="H320" s="110" t="s">
        <v>70</v>
      </c>
      <c r="I320" s="27" t="s">
        <v>2912</v>
      </c>
      <c r="J320" s="23" t="s">
        <v>71</v>
      </c>
      <c r="K320" s="102">
        <v>90</v>
      </c>
      <c r="L320" s="86" t="s">
        <v>604</v>
      </c>
    </row>
    <row r="321" spans="1:12" s="41" customFormat="1" ht="31.2" customHeight="1" x14ac:dyDescent="0.2">
      <c r="A321" s="128" t="s">
        <v>971</v>
      </c>
      <c r="B321" s="107" t="s">
        <v>12</v>
      </c>
      <c r="C321" s="106" t="s">
        <v>972</v>
      </c>
      <c r="D321" s="105">
        <v>2009</v>
      </c>
      <c r="E321" s="23" t="s">
        <v>14</v>
      </c>
      <c r="F321" s="125" t="s">
        <v>973</v>
      </c>
      <c r="G321" s="109" t="str">
        <f>HYPERLINK("https://www.lyellcollection.org/toc/sp/312/1")</f>
        <v>https://www.lyellcollection.org/toc/sp/312/1</v>
      </c>
      <c r="H321" s="110" t="s">
        <v>70</v>
      </c>
      <c r="I321" s="27" t="s">
        <v>2912</v>
      </c>
      <c r="J321" s="23" t="s">
        <v>71</v>
      </c>
      <c r="K321" s="102">
        <v>47.5</v>
      </c>
      <c r="L321" s="86" t="s">
        <v>604</v>
      </c>
    </row>
    <row r="322" spans="1:12" s="41" customFormat="1" ht="31.2" customHeight="1" x14ac:dyDescent="0.2">
      <c r="A322" s="111" t="s">
        <v>974</v>
      </c>
      <c r="B322" s="107" t="s">
        <v>12</v>
      </c>
      <c r="C322" s="106" t="s">
        <v>975</v>
      </c>
      <c r="D322" s="105">
        <v>2009</v>
      </c>
      <c r="E322" s="23" t="s">
        <v>14</v>
      </c>
      <c r="F322" s="125" t="s">
        <v>976</v>
      </c>
      <c r="G322" s="109" t="str">
        <f>HYPERLINK("https://www.lyellcollection.org/toc/sp/311/1")</f>
        <v>https://www.lyellcollection.org/toc/sp/311/1</v>
      </c>
      <c r="H322" s="110" t="s">
        <v>70</v>
      </c>
      <c r="I322" s="27" t="s">
        <v>2912</v>
      </c>
      <c r="J322" s="23" t="s">
        <v>71</v>
      </c>
      <c r="K322" s="102">
        <v>47.5</v>
      </c>
      <c r="L322" s="86" t="s">
        <v>604</v>
      </c>
    </row>
    <row r="323" spans="1:12" s="41" customFormat="1" ht="31.2" customHeight="1" x14ac:dyDescent="0.2">
      <c r="A323" s="128" t="s">
        <v>977</v>
      </c>
      <c r="B323" s="107" t="s">
        <v>12</v>
      </c>
      <c r="C323" s="106" t="s">
        <v>978</v>
      </c>
      <c r="D323" s="105">
        <v>2009</v>
      </c>
      <c r="E323" s="23" t="s">
        <v>14</v>
      </c>
      <c r="F323" s="125" t="s">
        <v>979</v>
      </c>
      <c r="G323" s="109" t="str">
        <f>HYPERLINK("https://www.lyellcollection.org/toc/sp/310/1")</f>
        <v>https://www.lyellcollection.org/toc/sp/310/1</v>
      </c>
      <c r="H323" s="110" t="s">
        <v>70</v>
      </c>
      <c r="I323" s="27" t="s">
        <v>2912</v>
      </c>
      <c r="J323" s="23" t="s">
        <v>1273</v>
      </c>
      <c r="K323" s="102">
        <v>95</v>
      </c>
      <c r="L323" s="86" t="s">
        <v>604</v>
      </c>
    </row>
    <row r="324" spans="1:12" s="41" customFormat="1" ht="31.2" customHeight="1" x14ac:dyDescent="0.2">
      <c r="A324" s="128" t="s">
        <v>913</v>
      </c>
      <c r="B324" s="116" t="s">
        <v>690</v>
      </c>
      <c r="C324" s="129" t="s">
        <v>914</v>
      </c>
      <c r="D324" s="105">
        <v>2009</v>
      </c>
      <c r="E324" s="130" t="s">
        <v>915</v>
      </c>
      <c r="F324" s="130" t="s">
        <v>916</v>
      </c>
      <c r="G324" s="112" t="s">
        <v>79</v>
      </c>
      <c r="H324" s="191"/>
      <c r="I324" s="192"/>
      <c r="J324" s="23" t="s">
        <v>71</v>
      </c>
      <c r="K324" s="102">
        <v>100</v>
      </c>
      <c r="L324" s="53"/>
    </row>
    <row r="325" spans="1:12" s="41" customFormat="1" ht="31.2" customHeight="1" x14ac:dyDescent="0.2">
      <c r="A325" s="111" t="s">
        <v>917</v>
      </c>
      <c r="B325" s="106" t="s">
        <v>841</v>
      </c>
      <c r="C325" s="106" t="s">
        <v>918</v>
      </c>
      <c r="D325" s="105">
        <v>2009</v>
      </c>
      <c r="E325" s="105" t="s">
        <v>14</v>
      </c>
      <c r="F325" s="105" t="s">
        <v>919</v>
      </c>
      <c r="G325" s="112" t="s">
        <v>79</v>
      </c>
      <c r="H325" s="191"/>
      <c r="I325" s="192"/>
      <c r="J325" s="23" t="s">
        <v>71</v>
      </c>
      <c r="K325" s="102">
        <v>110</v>
      </c>
      <c r="L325" s="53"/>
    </row>
    <row r="326" spans="1:12" s="41" customFormat="1" ht="31.2" customHeight="1" x14ac:dyDescent="0.2">
      <c r="A326" s="111" t="s">
        <v>1003</v>
      </c>
      <c r="B326" s="107" t="s">
        <v>12</v>
      </c>
      <c r="C326" s="106" t="s">
        <v>1004</v>
      </c>
      <c r="D326" s="105">
        <v>2008</v>
      </c>
      <c r="E326" s="84" t="s">
        <v>14</v>
      </c>
      <c r="F326" s="84" t="s">
        <v>1005</v>
      </c>
      <c r="G326" s="109" t="str">
        <f>HYPERLINK("https://www.lyellcollection.org/toc/sp/309/1")</f>
        <v>https://www.lyellcollection.org/toc/sp/309/1</v>
      </c>
      <c r="H326" s="110" t="s">
        <v>70</v>
      </c>
      <c r="I326" s="27" t="s">
        <v>2912</v>
      </c>
      <c r="J326" s="23" t="s">
        <v>71</v>
      </c>
      <c r="K326" s="102">
        <v>90</v>
      </c>
      <c r="L326" s="86" t="s">
        <v>604</v>
      </c>
    </row>
    <row r="327" spans="1:12" s="41" customFormat="1" ht="31.2" customHeight="1" x14ac:dyDescent="0.2">
      <c r="A327" s="128" t="s">
        <v>1006</v>
      </c>
      <c r="B327" s="107" t="s">
        <v>12</v>
      </c>
      <c r="C327" s="129" t="s">
        <v>1007</v>
      </c>
      <c r="D327" s="105">
        <v>2008</v>
      </c>
      <c r="E327" s="23" t="s">
        <v>14</v>
      </c>
      <c r="F327" s="130" t="s">
        <v>1008</v>
      </c>
      <c r="G327" s="109" t="str">
        <f>HYPERLINK("https://www.lyellcollection.org/toc/sp/308/1")</f>
        <v>https://www.lyellcollection.org/toc/sp/308/1</v>
      </c>
      <c r="H327" s="110" t="s">
        <v>70</v>
      </c>
      <c r="I327" s="27" t="s">
        <v>2912</v>
      </c>
      <c r="J327" s="23" t="s">
        <v>71</v>
      </c>
      <c r="K327" s="102">
        <v>50</v>
      </c>
      <c r="L327" s="86" t="s">
        <v>604</v>
      </c>
    </row>
    <row r="328" spans="1:12" s="41" customFormat="1" ht="31.2" customHeight="1" x14ac:dyDescent="0.2">
      <c r="A328" s="128" t="s">
        <v>1009</v>
      </c>
      <c r="B328" s="107" t="s">
        <v>12</v>
      </c>
      <c r="C328" s="129" t="s">
        <v>1010</v>
      </c>
      <c r="D328" s="105">
        <v>2008</v>
      </c>
      <c r="E328" s="23" t="s">
        <v>14</v>
      </c>
      <c r="F328" s="130" t="s">
        <v>1011</v>
      </c>
      <c r="G328" s="109" t="str">
        <f>HYPERLINK("https://www.lyellcollection.org/toc/sp/307/1")</f>
        <v>https://www.lyellcollection.org/toc/sp/307/1</v>
      </c>
      <c r="H328" s="110" t="s">
        <v>70</v>
      </c>
      <c r="I328" s="27" t="s">
        <v>2912</v>
      </c>
      <c r="J328" s="23" t="s">
        <v>71</v>
      </c>
      <c r="K328" s="102">
        <v>85</v>
      </c>
      <c r="L328" s="86" t="s">
        <v>604</v>
      </c>
    </row>
    <row r="329" spans="1:12" s="41" customFormat="1" ht="31.2" customHeight="1" x14ac:dyDescent="0.2">
      <c r="A329" s="128" t="s">
        <v>1012</v>
      </c>
      <c r="B329" s="107" t="s">
        <v>12</v>
      </c>
      <c r="C329" s="129" t="s">
        <v>1013</v>
      </c>
      <c r="D329" s="105">
        <v>2008</v>
      </c>
      <c r="E329" s="23" t="s">
        <v>14</v>
      </c>
      <c r="F329" s="130" t="s">
        <v>1014</v>
      </c>
      <c r="G329" s="109" t="str">
        <f>HYPERLINK("https://www.lyellcollection.org/toc/sp/306/1")</f>
        <v>https://www.lyellcollection.org/toc/sp/306/1</v>
      </c>
      <c r="H329" s="110" t="s">
        <v>70</v>
      </c>
      <c r="I329" s="27" t="s">
        <v>2912</v>
      </c>
      <c r="J329" s="23" t="s">
        <v>71</v>
      </c>
      <c r="K329" s="102">
        <v>85</v>
      </c>
      <c r="L329" s="86" t="s">
        <v>604</v>
      </c>
    </row>
    <row r="330" spans="1:12" s="41" customFormat="1" ht="31.2" customHeight="1" x14ac:dyDescent="0.2">
      <c r="A330" s="128" t="s">
        <v>1015</v>
      </c>
      <c r="B330" s="107" t="s">
        <v>12</v>
      </c>
      <c r="C330" s="129" t="s">
        <v>1016</v>
      </c>
      <c r="D330" s="105">
        <v>2008</v>
      </c>
      <c r="E330" s="23" t="s">
        <v>14</v>
      </c>
      <c r="F330" s="130" t="s">
        <v>1017</v>
      </c>
      <c r="G330" s="109" t="str">
        <f>HYPERLINK("https://www.lyellcollection.org/toc/sp/305/1")</f>
        <v>https://www.lyellcollection.org/toc/sp/305/1</v>
      </c>
      <c r="H330" s="110" t="s">
        <v>70</v>
      </c>
      <c r="I330" s="27" t="s">
        <v>2912</v>
      </c>
      <c r="J330" s="23" t="s">
        <v>1273</v>
      </c>
      <c r="K330" s="102">
        <v>80</v>
      </c>
      <c r="L330" s="86" t="s">
        <v>604</v>
      </c>
    </row>
    <row r="331" spans="1:12" s="41" customFormat="1" ht="31.2" customHeight="1" x14ac:dyDescent="0.2">
      <c r="A331" s="128" t="s">
        <v>1018</v>
      </c>
      <c r="B331" s="107" t="s">
        <v>12</v>
      </c>
      <c r="C331" s="129" t="s">
        <v>1019</v>
      </c>
      <c r="D331" s="105">
        <v>2008</v>
      </c>
      <c r="E331" s="23" t="s">
        <v>14</v>
      </c>
      <c r="F331" s="130" t="s">
        <v>1020</v>
      </c>
      <c r="G331" s="109" t="str">
        <f>HYPERLINK("https://www.lyellcollection.org/toc/sp/304/1")</f>
        <v>https://www.lyellcollection.org/toc/sp/304/1</v>
      </c>
      <c r="H331" s="110" t="s">
        <v>70</v>
      </c>
      <c r="I331" s="27" t="s">
        <v>2912</v>
      </c>
      <c r="J331" s="23" t="s">
        <v>71</v>
      </c>
      <c r="K331" s="102">
        <v>85</v>
      </c>
      <c r="L331" s="86" t="s">
        <v>604</v>
      </c>
    </row>
    <row r="332" spans="1:12" s="41" customFormat="1" ht="31.2" customHeight="1" x14ac:dyDescent="0.2">
      <c r="A332" s="128" t="s">
        <v>1021</v>
      </c>
      <c r="B332" s="107" t="s">
        <v>12</v>
      </c>
      <c r="C332" s="129" t="s">
        <v>1022</v>
      </c>
      <c r="D332" s="105">
        <v>2008</v>
      </c>
      <c r="E332" s="23" t="s">
        <v>14</v>
      </c>
      <c r="F332" s="130" t="s">
        <v>1023</v>
      </c>
      <c r="G332" s="109" t="str">
        <f>HYPERLINK("https://www.lyellcollection.org/toc/sp/303/1")</f>
        <v>https://www.lyellcollection.org/toc/sp/303/1</v>
      </c>
      <c r="H332" s="110" t="s">
        <v>70</v>
      </c>
      <c r="I332" s="27" t="s">
        <v>2912</v>
      </c>
      <c r="J332" s="23" t="s">
        <v>1273</v>
      </c>
      <c r="K332" s="102">
        <v>85</v>
      </c>
      <c r="L332" s="86" t="s">
        <v>604</v>
      </c>
    </row>
    <row r="333" spans="1:12" s="41" customFormat="1" ht="31.2" customHeight="1" x14ac:dyDescent="0.2">
      <c r="A333" s="128" t="s">
        <v>1024</v>
      </c>
      <c r="B333" s="107" t="s">
        <v>12</v>
      </c>
      <c r="C333" s="129" t="s">
        <v>1025</v>
      </c>
      <c r="D333" s="105">
        <v>2008</v>
      </c>
      <c r="E333" s="23" t="s">
        <v>14</v>
      </c>
      <c r="F333" s="130" t="s">
        <v>1026</v>
      </c>
      <c r="G333" s="109" t="str">
        <f>HYPERLINK("https://www.lyellcollection.org/toc/sp/302/1")</f>
        <v>https://www.lyellcollection.org/toc/sp/302/1</v>
      </c>
      <c r="H333" s="110" t="s">
        <v>70</v>
      </c>
      <c r="I333" s="27" t="s">
        <v>2912</v>
      </c>
      <c r="J333" s="23" t="s">
        <v>1273</v>
      </c>
      <c r="K333" s="102">
        <v>85</v>
      </c>
      <c r="L333" s="86" t="s">
        <v>604</v>
      </c>
    </row>
    <row r="334" spans="1:12" s="41" customFormat="1" ht="31.2" customHeight="1" x14ac:dyDescent="0.2">
      <c r="A334" s="128" t="s">
        <v>1027</v>
      </c>
      <c r="B334" s="107" t="s">
        <v>12</v>
      </c>
      <c r="C334" s="129" t="s">
        <v>1028</v>
      </c>
      <c r="D334" s="105">
        <v>2008</v>
      </c>
      <c r="E334" s="23" t="s">
        <v>14</v>
      </c>
      <c r="F334" s="130" t="s">
        <v>1029</v>
      </c>
      <c r="G334" s="109" t="str">
        <f>HYPERLINK("https://www.lyellcollection.org/toc/sp/301/1")</f>
        <v>https://www.lyellcollection.org/toc/sp/301/1</v>
      </c>
      <c r="H334" s="110" t="s">
        <v>70</v>
      </c>
      <c r="I334" s="27" t="s">
        <v>2912</v>
      </c>
      <c r="J334" s="23" t="s">
        <v>71</v>
      </c>
      <c r="K334" s="102">
        <v>85</v>
      </c>
      <c r="L334" s="86" t="s">
        <v>604</v>
      </c>
    </row>
    <row r="335" spans="1:12" s="41" customFormat="1" ht="31.2" customHeight="1" x14ac:dyDescent="0.2">
      <c r="A335" s="128" t="s">
        <v>1030</v>
      </c>
      <c r="B335" s="107" t="s">
        <v>12</v>
      </c>
      <c r="C335" s="129" t="s">
        <v>1031</v>
      </c>
      <c r="D335" s="105">
        <v>2008</v>
      </c>
      <c r="E335" s="23" t="s">
        <v>14</v>
      </c>
      <c r="F335" s="130" t="s">
        <v>1032</v>
      </c>
      <c r="G335" s="109" t="str">
        <f>HYPERLINK("https://www.lyellcollection.org/toc/sp/300/1")</f>
        <v>https://www.lyellcollection.org/toc/sp/300/1</v>
      </c>
      <c r="H335" s="110" t="s">
        <v>70</v>
      </c>
      <c r="I335" s="27" t="s">
        <v>2912</v>
      </c>
      <c r="J335" s="23" t="s">
        <v>71</v>
      </c>
      <c r="K335" s="102">
        <v>60</v>
      </c>
      <c r="L335" s="86" t="s">
        <v>1033</v>
      </c>
    </row>
    <row r="336" spans="1:12" s="41" customFormat="1" ht="31.2" customHeight="1" x14ac:dyDescent="0.2">
      <c r="A336" s="128" t="s">
        <v>1034</v>
      </c>
      <c r="B336" s="107" t="s">
        <v>12</v>
      </c>
      <c r="C336" s="129" t="s">
        <v>1035</v>
      </c>
      <c r="D336" s="105">
        <v>2008</v>
      </c>
      <c r="E336" s="23" t="s">
        <v>14</v>
      </c>
      <c r="F336" s="130" t="s">
        <v>1036</v>
      </c>
      <c r="G336" s="109" t="str">
        <f>HYPERLINK("https://www.lyellcollection.org/toc/sp/299/1")</f>
        <v>https://www.lyellcollection.org/toc/sp/299/1</v>
      </c>
      <c r="H336" s="110" t="s">
        <v>70</v>
      </c>
      <c r="I336" s="27" t="s">
        <v>2912</v>
      </c>
      <c r="J336" s="23" t="s">
        <v>71</v>
      </c>
      <c r="K336" s="102">
        <v>90</v>
      </c>
      <c r="L336" s="86" t="s">
        <v>1033</v>
      </c>
    </row>
    <row r="337" spans="1:12" s="41" customFormat="1" ht="31.2" customHeight="1" x14ac:dyDescent="0.2">
      <c r="A337" s="128" t="s">
        <v>1037</v>
      </c>
      <c r="B337" s="107" t="s">
        <v>12</v>
      </c>
      <c r="C337" s="129" t="s">
        <v>1038</v>
      </c>
      <c r="D337" s="105">
        <v>2008</v>
      </c>
      <c r="E337" s="23" t="s">
        <v>14</v>
      </c>
      <c r="F337" s="130" t="s">
        <v>1039</v>
      </c>
      <c r="G337" s="109" t="str">
        <f>HYPERLINK("https://www.lyellcollection.org/toc/sp/298/1")</f>
        <v>https://www.lyellcollection.org/toc/sp/298/1</v>
      </c>
      <c r="H337" s="110" t="s">
        <v>70</v>
      </c>
      <c r="I337" s="27" t="s">
        <v>2912</v>
      </c>
      <c r="J337" s="23" t="s">
        <v>1273</v>
      </c>
      <c r="K337" s="102">
        <v>90</v>
      </c>
      <c r="L337" s="86" t="s">
        <v>1033</v>
      </c>
    </row>
    <row r="338" spans="1:12" s="41" customFormat="1" ht="31.2" customHeight="1" x14ac:dyDescent="0.2">
      <c r="A338" s="128" t="s">
        <v>1040</v>
      </c>
      <c r="B338" s="107" t="s">
        <v>12</v>
      </c>
      <c r="C338" s="129" t="s">
        <v>1041</v>
      </c>
      <c r="D338" s="105">
        <v>2008</v>
      </c>
      <c r="E338" s="23" t="s">
        <v>14</v>
      </c>
      <c r="F338" s="130" t="s">
        <v>1042</v>
      </c>
      <c r="G338" s="109" t="str">
        <f>HYPERLINK("https://www.lyellcollection.org/toc/sp/297/1")</f>
        <v>https://www.lyellcollection.org/toc/sp/297/1</v>
      </c>
      <c r="H338" s="110" t="s">
        <v>70</v>
      </c>
      <c r="I338" s="27" t="s">
        <v>2912</v>
      </c>
      <c r="J338" s="23" t="s">
        <v>71</v>
      </c>
      <c r="K338" s="102">
        <v>50</v>
      </c>
      <c r="L338" s="86" t="s">
        <v>1033</v>
      </c>
    </row>
    <row r="339" spans="1:12" s="41" customFormat="1" ht="31.2" customHeight="1" x14ac:dyDescent="0.2">
      <c r="A339" s="111" t="s">
        <v>1043</v>
      </c>
      <c r="B339" s="107" t="s">
        <v>12</v>
      </c>
      <c r="C339" s="116" t="s">
        <v>1044</v>
      </c>
      <c r="D339" s="105">
        <v>2008</v>
      </c>
      <c r="E339" s="23" t="s">
        <v>14</v>
      </c>
      <c r="F339" s="125" t="s">
        <v>1045</v>
      </c>
      <c r="G339" s="109" t="str">
        <f>HYPERLINK("https://www.lyellcollection.org/toc/sp/296/1")</f>
        <v>https://www.lyellcollection.org/toc/sp/296/1</v>
      </c>
      <c r="H339" s="110" t="s">
        <v>70</v>
      </c>
      <c r="I339" s="27" t="s">
        <v>2912</v>
      </c>
      <c r="J339" s="23" t="s">
        <v>71</v>
      </c>
      <c r="K339" s="102">
        <v>80</v>
      </c>
      <c r="L339" s="86" t="s">
        <v>1033</v>
      </c>
    </row>
    <row r="340" spans="1:12" s="41" customFormat="1" ht="31.2" customHeight="1" x14ac:dyDescent="0.2">
      <c r="A340" s="111" t="s">
        <v>1046</v>
      </c>
      <c r="B340" s="107" t="s">
        <v>12</v>
      </c>
      <c r="C340" s="106" t="s">
        <v>1047</v>
      </c>
      <c r="D340" s="105">
        <v>2008</v>
      </c>
      <c r="E340" s="23" t="s">
        <v>14</v>
      </c>
      <c r="F340" s="125" t="s">
        <v>1048</v>
      </c>
      <c r="G340" s="109" t="str">
        <f>HYPERLINK("https://www.lyellcollection.org/toc/sp/295/1")</f>
        <v>https://www.lyellcollection.org/toc/sp/295/1</v>
      </c>
      <c r="H340" s="110" t="s">
        <v>70</v>
      </c>
      <c r="I340" s="27" t="s">
        <v>2912</v>
      </c>
      <c r="J340" s="23" t="s">
        <v>71</v>
      </c>
      <c r="K340" s="102">
        <v>95</v>
      </c>
      <c r="L340" s="86" t="s">
        <v>1033</v>
      </c>
    </row>
    <row r="341" spans="1:12" s="41" customFormat="1" ht="31.2" customHeight="1" x14ac:dyDescent="0.2">
      <c r="A341" s="111" t="s">
        <v>1049</v>
      </c>
      <c r="B341" s="107" t="s">
        <v>12</v>
      </c>
      <c r="C341" s="106" t="s">
        <v>1050</v>
      </c>
      <c r="D341" s="105">
        <v>2008</v>
      </c>
      <c r="E341" s="23" t="s">
        <v>14</v>
      </c>
      <c r="F341" s="125" t="s">
        <v>1051</v>
      </c>
      <c r="G341" s="109" t="str">
        <f>HYPERLINK("https://www.lyellcollection.org/toc/sp/294/1")</f>
        <v>https://www.lyellcollection.org/toc/sp/294/1</v>
      </c>
      <c r="H341" s="110" t="s">
        <v>70</v>
      </c>
      <c r="I341" s="27" t="s">
        <v>2912</v>
      </c>
      <c r="J341" s="23" t="s">
        <v>1273</v>
      </c>
      <c r="K341" s="102">
        <v>47.5</v>
      </c>
      <c r="L341" s="86" t="s">
        <v>1033</v>
      </c>
    </row>
    <row r="342" spans="1:12" s="41" customFormat="1" ht="31.2" customHeight="1" x14ac:dyDescent="0.2">
      <c r="A342" s="111" t="s">
        <v>1052</v>
      </c>
      <c r="B342" s="107" t="s">
        <v>12</v>
      </c>
      <c r="C342" s="106" t="s">
        <v>1053</v>
      </c>
      <c r="D342" s="105">
        <v>2008</v>
      </c>
      <c r="E342" s="23" t="s">
        <v>14</v>
      </c>
      <c r="F342" s="125" t="s">
        <v>1054</v>
      </c>
      <c r="G342" s="109" t="str">
        <f>HYPERLINK("https://www.lyellcollection.org/toc/sp/293/1")</f>
        <v>https://www.lyellcollection.org/toc/sp/293/1</v>
      </c>
      <c r="H342" s="110" t="s">
        <v>70</v>
      </c>
      <c r="I342" s="27" t="s">
        <v>2912</v>
      </c>
      <c r="J342" s="23" t="s">
        <v>1273</v>
      </c>
      <c r="K342" s="102">
        <v>90</v>
      </c>
      <c r="L342" s="86" t="s">
        <v>1033</v>
      </c>
    </row>
    <row r="343" spans="1:12" s="41" customFormat="1" ht="31.2" customHeight="1" x14ac:dyDescent="0.2">
      <c r="A343" s="111" t="s">
        <v>1055</v>
      </c>
      <c r="B343" s="107" t="s">
        <v>12</v>
      </c>
      <c r="C343" s="106" t="s">
        <v>1056</v>
      </c>
      <c r="D343" s="105">
        <v>2008</v>
      </c>
      <c r="E343" s="131" t="s">
        <v>1057</v>
      </c>
      <c r="F343" s="125" t="s">
        <v>1058</v>
      </c>
      <c r="G343" s="109" t="str">
        <f>HYPERLINK("https://www.lyellcollection.org/toc/sp/288/1")</f>
        <v>https://www.lyellcollection.org/toc/sp/288/1</v>
      </c>
      <c r="H343" s="110" t="s">
        <v>70</v>
      </c>
      <c r="I343" s="27" t="s">
        <v>2912</v>
      </c>
      <c r="J343" s="23" t="s">
        <v>1273</v>
      </c>
      <c r="K343" s="102">
        <v>75</v>
      </c>
      <c r="L343" s="86" t="s">
        <v>1033</v>
      </c>
    </row>
    <row r="344" spans="1:12" s="41" customFormat="1" ht="31.2" customHeight="1" x14ac:dyDescent="0.2">
      <c r="A344" s="111" t="s">
        <v>1059</v>
      </c>
      <c r="B344" s="113" t="s">
        <v>39</v>
      </c>
      <c r="C344" s="106" t="s">
        <v>1060</v>
      </c>
      <c r="D344" s="105">
        <v>2008</v>
      </c>
      <c r="E344" s="84" t="s">
        <v>14</v>
      </c>
      <c r="F344" s="84" t="s">
        <v>1061</v>
      </c>
      <c r="G344" s="109" t="str">
        <f>HYPERLINK("https://www.lyellcollection.org/toc/mem/33/1")</f>
        <v>https://www.lyellcollection.org/toc/mem/33/1</v>
      </c>
      <c r="H344" s="110" t="s">
        <v>70</v>
      </c>
      <c r="I344" s="27" t="s">
        <v>2912</v>
      </c>
      <c r="J344" s="23" t="s">
        <v>71</v>
      </c>
      <c r="K344" s="102">
        <v>65</v>
      </c>
      <c r="L344" s="53"/>
    </row>
    <row r="345" spans="1:12" s="41" customFormat="1" ht="31.2" customHeight="1" x14ac:dyDescent="0.2">
      <c r="A345" s="111" t="s">
        <v>980</v>
      </c>
      <c r="B345" s="106" t="s">
        <v>981</v>
      </c>
      <c r="C345" s="106" t="s">
        <v>982</v>
      </c>
      <c r="D345" s="105">
        <v>2008</v>
      </c>
      <c r="E345" s="105" t="s">
        <v>14</v>
      </c>
      <c r="F345" s="105" t="s">
        <v>983</v>
      </c>
      <c r="G345" s="112" t="s">
        <v>79</v>
      </c>
      <c r="H345" s="191"/>
      <c r="I345" s="192"/>
      <c r="J345" s="23" t="s">
        <v>71</v>
      </c>
      <c r="K345" s="102">
        <v>25</v>
      </c>
      <c r="L345" s="53"/>
    </row>
    <row r="346" spans="1:12" s="41" customFormat="1" ht="31.2" customHeight="1" x14ac:dyDescent="0.2">
      <c r="A346" s="111" t="s">
        <v>984</v>
      </c>
      <c r="B346" s="116" t="s">
        <v>220</v>
      </c>
      <c r="C346" s="106" t="s">
        <v>985</v>
      </c>
      <c r="D346" s="105">
        <v>2008</v>
      </c>
      <c r="E346" s="84" t="s">
        <v>14</v>
      </c>
      <c r="F346" s="84" t="s">
        <v>986</v>
      </c>
      <c r="G346" s="112" t="s">
        <v>79</v>
      </c>
      <c r="H346" s="191"/>
      <c r="I346" s="192"/>
      <c r="J346" s="23" t="s">
        <v>71</v>
      </c>
      <c r="K346" s="102">
        <v>135</v>
      </c>
      <c r="L346" s="53"/>
    </row>
    <row r="347" spans="1:12" s="41" customFormat="1" ht="31.2" customHeight="1" x14ac:dyDescent="0.2">
      <c r="A347" s="106" t="s">
        <v>987</v>
      </c>
      <c r="B347" s="106" t="s">
        <v>88</v>
      </c>
      <c r="C347" s="106" t="s">
        <v>988</v>
      </c>
      <c r="D347" s="105">
        <v>2008</v>
      </c>
      <c r="E347" s="130" t="s">
        <v>989</v>
      </c>
      <c r="F347" s="130" t="s">
        <v>990</v>
      </c>
      <c r="G347" s="177" t="s">
        <v>185</v>
      </c>
      <c r="H347" s="95" t="s">
        <v>186</v>
      </c>
      <c r="I347" s="27" t="s">
        <v>187</v>
      </c>
      <c r="J347" s="23" t="s">
        <v>71</v>
      </c>
      <c r="K347" s="102">
        <v>45</v>
      </c>
      <c r="L347" s="53"/>
    </row>
    <row r="348" spans="1:12" s="41" customFormat="1" ht="31.2" customHeight="1" x14ac:dyDescent="0.2">
      <c r="A348" s="106" t="s">
        <v>991</v>
      </c>
      <c r="B348" s="106" t="s">
        <v>88</v>
      </c>
      <c r="C348" s="106" t="s">
        <v>992</v>
      </c>
      <c r="D348" s="105">
        <v>2008</v>
      </c>
      <c r="E348" s="130" t="s">
        <v>993</v>
      </c>
      <c r="F348" s="130" t="s">
        <v>994</v>
      </c>
      <c r="G348" s="177" t="s">
        <v>185</v>
      </c>
      <c r="H348" s="95" t="s">
        <v>186</v>
      </c>
      <c r="I348" s="27" t="s">
        <v>187</v>
      </c>
      <c r="J348" s="23" t="s">
        <v>71</v>
      </c>
      <c r="K348" s="102">
        <v>95</v>
      </c>
      <c r="L348" s="53"/>
    </row>
    <row r="349" spans="1:12" s="41" customFormat="1" ht="31.2" customHeight="1" x14ac:dyDescent="0.2">
      <c r="A349" s="106" t="s">
        <v>995</v>
      </c>
      <c r="B349" s="106" t="s">
        <v>88</v>
      </c>
      <c r="C349" s="106" t="s">
        <v>996</v>
      </c>
      <c r="D349" s="105">
        <v>2008</v>
      </c>
      <c r="E349" s="130" t="s">
        <v>997</v>
      </c>
      <c r="F349" s="130" t="s">
        <v>998</v>
      </c>
      <c r="G349" s="177" t="s">
        <v>185</v>
      </c>
      <c r="H349" s="95" t="s">
        <v>186</v>
      </c>
      <c r="I349" s="27" t="s">
        <v>187</v>
      </c>
      <c r="J349" s="23" t="s">
        <v>71</v>
      </c>
      <c r="K349" s="102">
        <v>45</v>
      </c>
      <c r="L349" s="53"/>
    </row>
    <row r="350" spans="1:12" s="41" customFormat="1" ht="31.2" customHeight="1" x14ac:dyDescent="0.2">
      <c r="A350" s="106" t="s">
        <v>999</v>
      </c>
      <c r="B350" s="106" t="s">
        <v>88</v>
      </c>
      <c r="C350" s="106" t="s">
        <v>1000</v>
      </c>
      <c r="D350" s="105">
        <v>2008</v>
      </c>
      <c r="E350" s="130" t="s">
        <v>1001</v>
      </c>
      <c r="F350" s="130" t="s">
        <v>1002</v>
      </c>
      <c r="G350" s="177" t="s">
        <v>185</v>
      </c>
      <c r="H350" s="95" t="s">
        <v>186</v>
      </c>
      <c r="I350" s="27" t="s">
        <v>187</v>
      </c>
      <c r="J350" s="23" t="s">
        <v>71</v>
      </c>
      <c r="K350" s="102">
        <v>95</v>
      </c>
      <c r="L350" s="53"/>
    </row>
    <row r="351" spans="1:12" s="41" customFormat="1" ht="31.2" customHeight="1" x14ac:dyDescent="0.2">
      <c r="A351" s="106" t="s">
        <v>1062</v>
      </c>
      <c r="B351" s="106" t="s">
        <v>427</v>
      </c>
      <c r="C351" s="106" t="s">
        <v>1063</v>
      </c>
      <c r="D351" s="105">
        <v>2007</v>
      </c>
      <c r="E351" s="105" t="s">
        <v>14</v>
      </c>
      <c r="F351" s="105" t="s">
        <v>1064</v>
      </c>
      <c r="G351" s="112" t="s">
        <v>79</v>
      </c>
      <c r="H351" s="191"/>
      <c r="I351" s="192"/>
      <c r="J351" s="23" t="s">
        <v>71</v>
      </c>
      <c r="K351" s="102">
        <v>95</v>
      </c>
      <c r="L351" s="53"/>
    </row>
    <row r="352" spans="1:12" s="41" customFormat="1" ht="31.2" customHeight="1" x14ac:dyDescent="0.2">
      <c r="A352" s="111" t="s">
        <v>1078</v>
      </c>
      <c r="B352" s="107" t="s">
        <v>12</v>
      </c>
      <c r="C352" s="106" t="s">
        <v>1079</v>
      </c>
      <c r="D352" s="105">
        <v>2007</v>
      </c>
      <c r="E352" s="23" t="s">
        <v>14</v>
      </c>
      <c r="F352" s="125" t="s">
        <v>1080</v>
      </c>
      <c r="G352" s="109" t="str">
        <f>HYPERLINK("https://www.lyellcollection.org/toc/sp/292/1")</f>
        <v>https://www.lyellcollection.org/toc/sp/292/1</v>
      </c>
      <c r="H352" s="110" t="s">
        <v>70</v>
      </c>
      <c r="I352" s="27" t="s">
        <v>2912</v>
      </c>
      <c r="J352" s="23" t="s">
        <v>1273</v>
      </c>
      <c r="K352" s="102">
        <v>42.5</v>
      </c>
      <c r="L352" s="86" t="s">
        <v>1033</v>
      </c>
    </row>
    <row r="353" spans="1:12" s="41" customFormat="1" ht="31.2" customHeight="1" x14ac:dyDescent="0.2">
      <c r="A353" s="111" t="s">
        <v>1081</v>
      </c>
      <c r="B353" s="107" t="s">
        <v>12</v>
      </c>
      <c r="C353" s="106" t="s">
        <v>1082</v>
      </c>
      <c r="D353" s="105">
        <v>2007</v>
      </c>
      <c r="E353" s="23" t="s">
        <v>14</v>
      </c>
      <c r="F353" s="125" t="s">
        <v>1083</v>
      </c>
      <c r="G353" s="109" t="str">
        <f>HYPERLINK("https://www.lyellcollection.org/toc/sp/291/1")</f>
        <v>https://www.lyellcollection.org/toc/sp/291/1</v>
      </c>
      <c r="H353" s="110" t="s">
        <v>70</v>
      </c>
      <c r="I353" s="27" t="s">
        <v>2912</v>
      </c>
      <c r="J353" s="23" t="s">
        <v>1273</v>
      </c>
      <c r="K353" s="102">
        <v>85</v>
      </c>
      <c r="L353" s="86" t="s">
        <v>1033</v>
      </c>
    </row>
    <row r="354" spans="1:12" s="41" customFormat="1" ht="31.2" customHeight="1" x14ac:dyDescent="0.2">
      <c r="A354" s="111" t="s">
        <v>1084</v>
      </c>
      <c r="B354" s="107" t="s">
        <v>12</v>
      </c>
      <c r="C354" s="106" t="s">
        <v>1085</v>
      </c>
      <c r="D354" s="105">
        <v>2007</v>
      </c>
      <c r="E354" s="23" t="s">
        <v>14</v>
      </c>
      <c r="F354" s="125" t="s">
        <v>1086</v>
      </c>
      <c r="G354" s="109" t="str">
        <f>HYPERLINK("https://www.lyellcollection.org/toc/sp/290/1")</f>
        <v>https://www.lyellcollection.org/toc/sp/290/1</v>
      </c>
      <c r="H354" s="110" t="s">
        <v>70</v>
      </c>
      <c r="I354" s="27" t="s">
        <v>2912</v>
      </c>
      <c r="J354" s="23" t="s">
        <v>1273</v>
      </c>
      <c r="K354" s="102">
        <v>100</v>
      </c>
      <c r="L354" s="86" t="s">
        <v>1033</v>
      </c>
    </row>
    <row r="355" spans="1:12" s="41" customFormat="1" ht="31.2" customHeight="1" x14ac:dyDescent="0.2">
      <c r="A355" s="111" t="s">
        <v>1087</v>
      </c>
      <c r="B355" s="107" t="s">
        <v>12</v>
      </c>
      <c r="C355" s="106" t="s">
        <v>1088</v>
      </c>
      <c r="D355" s="105">
        <v>2007</v>
      </c>
      <c r="E355" s="131" t="s">
        <v>1089</v>
      </c>
      <c r="F355" s="105" t="s">
        <v>1090</v>
      </c>
      <c r="G355" s="109" t="str">
        <f>HYPERLINK("https://www.lyellcollection.org/toc/sp/289/1")</f>
        <v>https://www.lyellcollection.org/toc/sp/289/1</v>
      </c>
      <c r="H355" s="110" t="s">
        <v>70</v>
      </c>
      <c r="I355" s="27" t="s">
        <v>2912</v>
      </c>
      <c r="J355" s="23" t="s">
        <v>1273</v>
      </c>
      <c r="K355" s="102">
        <v>80</v>
      </c>
      <c r="L355" s="86" t="s">
        <v>1033</v>
      </c>
    </row>
    <row r="356" spans="1:12" s="41" customFormat="1" ht="31.2" customHeight="1" x14ac:dyDescent="0.2">
      <c r="A356" s="111" t="s">
        <v>1091</v>
      </c>
      <c r="B356" s="107" t="s">
        <v>12</v>
      </c>
      <c r="C356" s="106" t="s">
        <v>1092</v>
      </c>
      <c r="D356" s="105">
        <v>2007</v>
      </c>
      <c r="E356" s="131" t="s">
        <v>1093</v>
      </c>
      <c r="F356" s="105" t="s">
        <v>1094</v>
      </c>
      <c r="G356" s="109" t="str">
        <f>HYPERLINK("https://www.lyellcollection.org/toc/sp/287/1")</f>
        <v>https://www.lyellcollection.org/toc/sp/287/1</v>
      </c>
      <c r="H356" s="110" t="s">
        <v>70</v>
      </c>
      <c r="I356" s="27" t="s">
        <v>2912</v>
      </c>
      <c r="J356" s="23" t="s">
        <v>1273</v>
      </c>
      <c r="K356" s="102">
        <v>90</v>
      </c>
      <c r="L356" s="86" t="s">
        <v>1033</v>
      </c>
    </row>
    <row r="357" spans="1:12" s="41" customFormat="1" ht="31.2" customHeight="1" x14ac:dyDescent="0.2">
      <c r="A357" s="111" t="s">
        <v>1095</v>
      </c>
      <c r="B357" s="107" t="s">
        <v>12</v>
      </c>
      <c r="C357" s="106" t="s">
        <v>1096</v>
      </c>
      <c r="D357" s="105">
        <v>2007</v>
      </c>
      <c r="E357" s="131" t="s">
        <v>1097</v>
      </c>
      <c r="F357" s="105" t="s">
        <v>1098</v>
      </c>
      <c r="G357" s="109" t="str">
        <f>HYPERLINK("https://www.lyellcollection.org/toc/sp/286/1")</f>
        <v>https://www.lyellcollection.org/toc/sp/286/1</v>
      </c>
      <c r="H357" s="110" t="s">
        <v>70</v>
      </c>
      <c r="I357" s="27" t="s">
        <v>2912</v>
      </c>
      <c r="J357" s="23" t="s">
        <v>1273</v>
      </c>
      <c r="K357" s="102">
        <v>95</v>
      </c>
      <c r="L357" s="86" t="s">
        <v>1033</v>
      </c>
    </row>
    <row r="358" spans="1:12" s="41" customFormat="1" ht="31.2" customHeight="1" x14ac:dyDescent="0.2">
      <c r="A358" s="111" t="s">
        <v>1099</v>
      </c>
      <c r="B358" s="107" t="s">
        <v>12</v>
      </c>
      <c r="C358" s="106" t="s">
        <v>1100</v>
      </c>
      <c r="D358" s="105">
        <v>2007</v>
      </c>
      <c r="E358" s="131" t="s">
        <v>1101</v>
      </c>
      <c r="F358" s="105" t="s">
        <v>1102</v>
      </c>
      <c r="G358" s="109" t="str">
        <f>HYPERLINK("https://www.lyellcollection.org/toc/sp/285/1")</f>
        <v>https://www.lyellcollection.org/toc/sp/285/1</v>
      </c>
      <c r="H358" s="110" t="s">
        <v>70</v>
      </c>
      <c r="I358" s="27" t="s">
        <v>2912</v>
      </c>
      <c r="J358" s="23" t="s">
        <v>1273</v>
      </c>
      <c r="K358" s="102">
        <v>85</v>
      </c>
      <c r="L358" s="86" t="s">
        <v>1033</v>
      </c>
    </row>
    <row r="359" spans="1:12" s="41" customFormat="1" ht="31.2" customHeight="1" x14ac:dyDescent="0.2">
      <c r="A359" s="111" t="s">
        <v>1103</v>
      </c>
      <c r="B359" s="107" t="s">
        <v>12</v>
      </c>
      <c r="C359" s="106" t="s">
        <v>1104</v>
      </c>
      <c r="D359" s="105">
        <v>2007</v>
      </c>
      <c r="E359" s="131" t="s">
        <v>1105</v>
      </c>
      <c r="F359" s="105" t="s">
        <v>1106</v>
      </c>
      <c r="G359" s="109" t="str">
        <f>HYPERLINK("https://www.lyellcollection.org/toc/sp/284/1")</f>
        <v>https://www.lyellcollection.org/toc/sp/284/1</v>
      </c>
      <c r="H359" s="110" t="s">
        <v>70</v>
      </c>
      <c r="I359" s="27" t="s">
        <v>2912</v>
      </c>
      <c r="J359" s="23" t="s">
        <v>1273</v>
      </c>
      <c r="K359" s="102">
        <v>37.5</v>
      </c>
      <c r="L359" s="86" t="s">
        <v>1033</v>
      </c>
    </row>
    <row r="360" spans="1:12" s="41" customFormat="1" ht="31.2" customHeight="1" x14ac:dyDescent="0.2">
      <c r="A360" s="111" t="s">
        <v>1107</v>
      </c>
      <c r="B360" s="107" t="s">
        <v>12</v>
      </c>
      <c r="C360" s="106" t="s">
        <v>1108</v>
      </c>
      <c r="D360" s="105">
        <v>2007</v>
      </c>
      <c r="E360" s="23" t="s">
        <v>1109</v>
      </c>
      <c r="F360" s="105" t="s">
        <v>1110</v>
      </c>
      <c r="G360" s="109" t="str">
        <f>HYPERLINK("https://www.lyellcollection.org/toc/sp/283/1")</f>
        <v>https://www.lyellcollection.org/toc/sp/283/1</v>
      </c>
      <c r="H360" s="110" t="s">
        <v>70</v>
      </c>
      <c r="I360" s="27" t="s">
        <v>2912</v>
      </c>
      <c r="J360" s="23" t="s">
        <v>71</v>
      </c>
      <c r="K360" s="102">
        <v>75</v>
      </c>
      <c r="L360" s="86" t="s">
        <v>1033</v>
      </c>
    </row>
    <row r="361" spans="1:12" s="41" customFormat="1" ht="31.2" customHeight="1" x14ac:dyDescent="0.2">
      <c r="A361" s="111" t="s">
        <v>1111</v>
      </c>
      <c r="B361" s="107" t="s">
        <v>12</v>
      </c>
      <c r="C361" s="106" t="s">
        <v>1112</v>
      </c>
      <c r="D361" s="105">
        <v>2007</v>
      </c>
      <c r="E361" s="131" t="s">
        <v>1113</v>
      </c>
      <c r="F361" s="105" t="s">
        <v>1114</v>
      </c>
      <c r="G361" s="109" t="str">
        <f>HYPERLINK("https://www.lyellcollection.org/toc/sp/282/1")</f>
        <v>https://www.lyellcollection.org/toc/sp/282/1</v>
      </c>
      <c r="H361" s="110" t="s">
        <v>70</v>
      </c>
      <c r="I361" s="27" t="s">
        <v>2912</v>
      </c>
      <c r="J361" s="23" t="s">
        <v>1273</v>
      </c>
      <c r="K361" s="102">
        <v>100</v>
      </c>
      <c r="L361" s="86" t="s">
        <v>1033</v>
      </c>
    </row>
    <row r="362" spans="1:12" s="41" customFormat="1" ht="31.2" customHeight="1" x14ac:dyDescent="0.2">
      <c r="A362" s="111" t="s">
        <v>1115</v>
      </c>
      <c r="B362" s="107" t="s">
        <v>12</v>
      </c>
      <c r="C362" s="106" t="s">
        <v>1116</v>
      </c>
      <c r="D362" s="105">
        <v>2007</v>
      </c>
      <c r="E362" s="131" t="s">
        <v>1117</v>
      </c>
      <c r="F362" s="105" t="s">
        <v>1118</v>
      </c>
      <c r="G362" s="109" t="str">
        <f>HYPERLINK("https://www.lyellcollection.org/toc/sp/281/1")</f>
        <v>https://www.lyellcollection.org/toc/sp/281/1</v>
      </c>
      <c r="H362" s="110" t="s">
        <v>70</v>
      </c>
      <c r="I362" s="27" t="s">
        <v>2912</v>
      </c>
      <c r="J362" s="23" t="s">
        <v>1273</v>
      </c>
      <c r="K362" s="102">
        <v>85</v>
      </c>
      <c r="L362" s="86" t="s">
        <v>1033</v>
      </c>
    </row>
    <row r="363" spans="1:12" s="41" customFormat="1" ht="31.2" customHeight="1" x14ac:dyDescent="0.2">
      <c r="A363" s="111" t="s">
        <v>1119</v>
      </c>
      <c r="B363" s="107" t="s">
        <v>12</v>
      </c>
      <c r="C363" s="106" t="s">
        <v>1120</v>
      </c>
      <c r="D363" s="105">
        <v>2007</v>
      </c>
      <c r="E363" s="105" t="s">
        <v>1121</v>
      </c>
      <c r="F363" s="105" t="s">
        <v>1122</v>
      </c>
      <c r="G363" s="109" t="str">
        <f>HYPERLINK("https://www.lyellcollection.org/toc/sp/280/1")</f>
        <v>https://www.lyellcollection.org/toc/sp/280/1</v>
      </c>
      <c r="H363" s="110" t="s">
        <v>70</v>
      </c>
      <c r="I363" s="27" t="s">
        <v>2912</v>
      </c>
      <c r="J363" s="23" t="s">
        <v>1273</v>
      </c>
      <c r="K363" s="102">
        <v>90</v>
      </c>
      <c r="L363" s="86" t="s">
        <v>1033</v>
      </c>
    </row>
    <row r="364" spans="1:12" s="41" customFormat="1" ht="31.2" customHeight="1" x14ac:dyDescent="0.2">
      <c r="A364" s="111" t="s">
        <v>1123</v>
      </c>
      <c r="B364" s="107" t="s">
        <v>12</v>
      </c>
      <c r="C364" s="106" t="s">
        <v>1124</v>
      </c>
      <c r="D364" s="105">
        <v>2007</v>
      </c>
      <c r="E364" s="105" t="s">
        <v>1125</v>
      </c>
      <c r="F364" s="105" t="s">
        <v>1126</v>
      </c>
      <c r="G364" s="109" t="str">
        <f>HYPERLINK("https://www.lyellcollection.org/toc/sp/279/1")</f>
        <v>https://www.lyellcollection.org/toc/sp/279/1</v>
      </c>
      <c r="H364" s="110" t="s">
        <v>70</v>
      </c>
      <c r="I364" s="27" t="s">
        <v>2912</v>
      </c>
      <c r="J364" s="23" t="s">
        <v>1273</v>
      </c>
      <c r="K364" s="102">
        <v>70</v>
      </c>
      <c r="L364" s="86" t="s">
        <v>1033</v>
      </c>
    </row>
    <row r="365" spans="1:12" s="41" customFormat="1" ht="31.2" customHeight="1" x14ac:dyDescent="0.2">
      <c r="A365" s="111" t="s">
        <v>1127</v>
      </c>
      <c r="B365" s="107" t="s">
        <v>12</v>
      </c>
      <c r="C365" s="106" t="s">
        <v>1128</v>
      </c>
      <c r="D365" s="105">
        <v>2007</v>
      </c>
      <c r="E365" s="105" t="s">
        <v>1129</v>
      </c>
      <c r="F365" s="105" t="s">
        <v>1130</v>
      </c>
      <c r="G365" s="109" t="str">
        <f>HYPERLINK("https://www.lyellcollection.org/toc/sp/278/1")</f>
        <v>https://www.lyellcollection.org/toc/sp/278/1</v>
      </c>
      <c r="H365" s="110" t="s">
        <v>70</v>
      </c>
      <c r="I365" s="27" t="s">
        <v>2912</v>
      </c>
      <c r="J365" s="23" t="s">
        <v>1273</v>
      </c>
      <c r="K365" s="102">
        <v>75</v>
      </c>
      <c r="L365" s="86" t="s">
        <v>1033</v>
      </c>
    </row>
    <row r="366" spans="1:12" s="41" customFormat="1" ht="31.2" customHeight="1" x14ac:dyDescent="0.2">
      <c r="A366" s="111" t="s">
        <v>1131</v>
      </c>
      <c r="B366" s="107" t="s">
        <v>12</v>
      </c>
      <c r="C366" s="106" t="s">
        <v>1132</v>
      </c>
      <c r="D366" s="105">
        <v>2007</v>
      </c>
      <c r="E366" s="105" t="s">
        <v>1133</v>
      </c>
      <c r="F366" s="105" t="s">
        <v>1134</v>
      </c>
      <c r="G366" s="109" t="str">
        <f>HYPERLINK("https://www.lyellcollection.org/toc/sp/277/1")</f>
        <v>https://www.lyellcollection.org/toc/sp/277/1</v>
      </c>
      <c r="H366" s="110" t="s">
        <v>70</v>
      </c>
      <c r="I366" s="27" t="s">
        <v>2912</v>
      </c>
      <c r="J366" s="23" t="s">
        <v>1273</v>
      </c>
      <c r="K366" s="102">
        <v>70</v>
      </c>
      <c r="L366" s="86" t="s">
        <v>1033</v>
      </c>
    </row>
    <row r="367" spans="1:12" s="41" customFormat="1" ht="31.2" customHeight="1" x14ac:dyDescent="0.2">
      <c r="A367" s="111" t="s">
        <v>1135</v>
      </c>
      <c r="B367" s="107" t="s">
        <v>12</v>
      </c>
      <c r="C367" s="106" t="s">
        <v>1136</v>
      </c>
      <c r="D367" s="105">
        <v>2007</v>
      </c>
      <c r="E367" s="105" t="s">
        <v>1137</v>
      </c>
      <c r="F367" s="105" t="s">
        <v>1138</v>
      </c>
      <c r="G367" s="109" t="str">
        <f>HYPERLINK("https://www.lyellcollection.org/toc/sp/276/1")</f>
        <v>https://www.lyellcollection.org/toc/sp/276/1</v>
      </c>
      <c r="H367" s="110" t="s">
        <v>70</v>
      </c>
      <c r="I367" s="27" t="s">
        <v>2912</v>
      </c>
      <c r="J367" s="23" t="s">
        <v>1273</v>
      </c>
      <c r="K367" s="102">
        <v>42.5</v>
      </c>
      <c r="L367" s="86" t="s">
        <v>1033</v>
      </c>
    </row>
    <row r="368" spans="1:12" s="41" customFormat="1" ht="31.2" customHeight="1" x14ac:dyDescent="0.2">
      <c r="A368" s="111" t="s">
        <v>1139</v>
      </c>
      <c r="B368" s="107" t="s">
        <v>12</v>
      </c>
      <c r="C368" s="106" t="s">
        <v>1140</v>
      </c>
      <c r="D368" s="105">
        <v>2007</v>
      </c>
      <c r="E368" s="105" t="s">
        <v>1141</v>
      </c>
      <c r="F368" s="105" t="s">
        <v>1142</v>
      </c>
      <c r="G368" s="109" t="str">
        <f>HYPERLINK("https://www.lyellcollection.org/toc/sp/275/1")</f>
        <v>https://www.lyellcollection.org/toc/sp/275/1</v>
      </c>
      <c r="H368" s="110" t="s">
        <v>70</v>
      </c>
      <c r="I368" s="27" t="s">
        <v>2912</v>
      </c>
      <c r="J368" s="23" t="s">
        <v>1273</v>
      </c>
      <c r="K368" s="102">
        <v>80</v>
      </c>
      <c r="L368" s="86" t="s">
        <v>1033</v>
      </c>
    </row>
    <row r="369" spans="1:27" s="41" customFormat="1" ht="31.2" customHeight="1" x14ac:dyDescent="0.2">
      <c r="A369" s="111" t="s">
        <v>1143</v>
      </c>
      <c r="B369" s="107" t="s">
        <v>12</v>
      </c>
      <c r="C369" s="106" t="s">
        <v>1144</v>
      </c>
      <c r="D369" s="105">
        <v>2007</v>
      </c>
      <c r="E369" s="105" t="s">
        <v>1141</v>
      </c>
      <c r="F369" s="105" t="s">
        <v>1145</v>
      </c>
      <c r="G369" s="109" t="str">
        <f>HYPERLINK("https://www.lyellcollection.org/toc/sp/274/1")</f>
        <v>https://www.lyellcollection.org/toc/sp/274/1</v>
      </c>
      <c r="H369" s="110" t="s">
        <v>70</v>
      </c>
      <c r="I369" s="27" t="s">
        <v>2912</v>
      </c>
      <c r="J369" s="23" t="s">
        <v>1273</v>
      </c>
      <c r="K369" s="102">
        <v>32.5</v>
      </c>
      <c r="L369" s="86" t="s">
        <v>1033</v>
      </c>
    </row>
    <row r="370" spans="1:27" s="41" customFormat="1" ht="31.2" customHeight="1" x14ac:dyDescent="0.2">
      <c r="A370" s="111" t="s">
        <v>1146</v>
      </c>
      <c r="B370" s="107" t="s">
        <v>12</v>
      </c>
      <c r="C370" s="106" t="s">
        <v>1147</v>
      </c>
      <c r="D370" s="105">
        <v>2007</v>
      </c>
      <c r="E370" s="105" t="s">
        <v>1141</v>
      </c>
      <c r="F370" s="105" t="s">
        <v>1148</v>
      </c>
      <c r="G370" s="109" t="str">
        <f>HYPERLINK("https://www.lyellcollection.org/toc/sp/273/1")</f>
        <v>https://www.lyellcollection.org/toc/sp/273/1</v>
      </c>
      <c r="H370" s="110" t="s">
        <v>70</v>
      </c>
      <c r="I370" s="27" t="s">
        <v>2912</v>
      </c>
      <c r="J370" s="23" t="s">
        <v>1077</v>
      </c>
      <c r="K370" s="102" t="e">
        <v>#N/A</v>
      </c>
      <c r="L370" s="86" t="s">
        <v>1033</v>
      </c>
    </row>
    <row r="371" spans="1:27" s="41" customFormat="1" ht="31.2" customHeight="1" x14ac:dyDescent="0.2">
      <c r="A371" s="111" t="s">
        <v>1150</v>
      </c>
      <c r="B371" s="107" t="s">
        <v>12</v>
      </c>
      <c r="C371" s="106" t="s">
        <v>1151</v>
      </c>
      <c r="D371" s="105">
        <v>2007</v>
      </c>
      <c r="E371" s="105" t="s">
        <v>1152</v>
      </c>
      <c r="F371" s="105" t="s">
        <v>1153</v>
      </c>
      <c r="G371" s="109" t="str">
        <f>HYPERLINK("https://www.lyellcollection.org/toc/sp/272/1")</f>
        <v>https://www.lyellcollection.org/toc/sp/272/1</v>
      </c>
      <c r="H371" s="110" t="s">
        <v>70</v>
      </c>
      <c r="I371" s="27" t="s">
        <v>2912</v>
      </c>
      <c r="J371" s="23" t="s">
        <v>1273</v>
      </c>
      <c r="K371" s="102">
        <v>50</v>
      </c>
      <c r="L371" s="86" t="s">
        <v>1033</v>
      </c>
    </row>
    <row r="372" spans="1:27" s="41" customFormat="1" ht="31.2" customHeight="1" x14ac:dyDescent="0.2">
      <c r="A372" s="111" t="s">
        <v>1154</v>
      </c>
      <c r="B372" s="107" t="s">
        <v>12</v>
      </c>
      <c r="C372" s="106" t="s">
        <v>1155</v>
      </c>
      <c r="D372" s="105">
        <v>2007</v>
      </c>
      <c r="E372" s="105" t="s">
        <v>1156</v>
      </c>
      <c r="F372" s="105" t="s">
        <v>1157</v>
      </c>
      <c r="G372" s="109" t="str">
        <f>HYPERLINK("https://www.lyellcollection.org/toc/sp/271/1")</f>
        <v>https://www.lyellcollection.org/toc/sp/271/1</v>
      </c>
      <c r="H372" s="110" t="s">
        <v>70</v>
      </c>
      <c r="I372" s="27" t="s">
        <v>2912</v>
      </c>
      <c r="J372" s="23" t="s">
        <v>1273</v>
      </c>
      <c r="K372" s="102">
        <v>85</v>
      </c>
      <c r="L372" s="86" t="s">
        <v>1033</v>
      </c>
    </row>
    <row r="373" spans="1:27" s="41" customFormat="1" ht="31.2" customHeight="1" x14ac:dyDescent="0.2">
      <c r="A373" s="111" t="s">
        <v>1158</v>
      </c>
      <c r="B373" s="107" t="s">
        <v>12</v>
      </c>
      <c r="C373" s="106" t="s">
        <v>1159</v>
      </c>
      <c r="D373" s="105">
        <v>2007</v>
      </c>
      <c r="E373" s="105" t="s">
        <v>1156</v>
      </c>
      <c r="F373" s="105" t="s">
        <v>1160</v>
      </c>
      <c r="G373" s="109" t="str">
        <f>HYPERLINK("https://www.lyellcollection.org/toc/sp/270/1")</f>
        <v>https://www.lyellcollection.org/toc/sp/270/1</v>
      </c>
      <c r="H373" s="110" t="s">
        <v>70</v>
      </c>
      <c r="I373" s="27" t="s">
        <v>2912</v>
      </c>
      <c r="J373" s="23" t="s">
        <v>1077</v>
      </c>
      <c r="K373" s="102" t="e">
        <v>#N/A</v>
      </c>
      <c r="L373" s="86" t="s">
        <v>1033</v>
      </c>
      <c r="M373" s="117"/>
      <c r="N373" s="117"/>
      <c r="O373" s="117"/>
      <c r="P373" s="117"/>
      <c r="Q373" s="117"/>
      <c r="R373" s="117"/>
      <c r="S373" s="117"/>
      <c r="T373" s="117"/>
      <c r="U373" s="117"/>
      <c r="V373" s="117"/>
      <c r="W373" s="117"/>
      <c r="X373" s="117"/>
      <c r="Y373" s="117"/>
      <c r="Z373" s="117"/>
      <c r="AA373" s="117"/>
    </row>
    <row r="374" spans="1:27" s="41" customFormat="1" ht="31.2" customHeight="1" x14ac:dyDescent="0.2">
      <c r="A374" s="111" t="s">
        <v>1065</v>
      </c>
      <c r="B374" s="116" t="s">
        <v>220</v>
      </c>
      <c r="C374" s="106" t="s">
        <v>1066</v>
      </c>
      <c r="D374" s="105">
        <v>2007</v>
      </c>
      <c r="E374" s="105" t="s">
        <v>1067</v>
      </c>
      <c r="F374" s="105" t="s">
        <v>1068</v>
      </c>
      <c r="G374" s="112" t="s">
        <v>79</v>
      </c>
      <c r="H374" s="191"/>
      <c r="I374" s="192"/>
      <c r="J374" s="23" t="s">
        <v>71</v>
      </c>
      <c r="K374" s="102">
        <v>50</v>
      </c>
      <c r="L374" s="53"/>
    </row>
    <row r="375" spans="1:27" s="41" customFormat="1" ht="31.2" customHeight="1" x14ac:dyDescent="0.2">
      <c r="A375" s="111" t="s">
        <v>1069</v>
      </c>
      <c r="B375" s="106" t="s">
        <v>88</v>
      </c>
      <c r="C375" s="116" t="s">
        <v>1070</v>
      </c>
      <c r="D375" s="105">
        <v>2007</v>
      </c>
      <c r="E375" s="105" t="s">
        <v>1071</v>
      </c>
      <c r="F375" s="105" t="s">
        <v>1072</v>
      </c>
      <c r="G375" s="177" t="s">
        <v>185</v>
      </c>
      <c r="H375" s="95" t="s">
        <v>186</v>
      </c>
      <c r="I375" s="27" t="s">
        <v>187</v>
      </c>
      <c r="J375" s="23" t="s">
        <v>71</v>
      </c>
      <c r="K375" s="102">
        <v>35</v>
      </c>
      <c r="L375" s="53"/>
    </row>
    <row r="376" spans="1:27" s="41" customFormat="1" ht="31.2" customHeight="1" x14ac:dyDescent="0.2">
      <c r="A376" s="111" t="s">
        <v>1073</v>
      </c>
      <c r="B376" s="106" t="s">
        <v>88</v>
      </c>
      <c r="C376" s="116" t="s">
        <v>1074</v>
      </c>
      <c r="D376" s="105">
        <v>2007</v>
      </c>
      <c r="E376" s="105" t="s">
        <v>1075</v>
      </c>
      <c r="F376" s="105" t="s">
        <v>1076</v>
      </c>
      <c r="G376" s="177" t="s">
        <v>185</v>
      </c>
      <c r="H376" s="95" t="s">
        <v>186</v>
      </c>
      <c r="I376" s="27" t="s">
        <v>187</v>
      </c>
      <c r="J376" s="23" t="s">
        <v>1077</v>
      </c>
      <c r="K376" s="102" t="e">
        <v>#N/A</v>
      </c>
      <c r="L376" s="53"/>
    </row>
    <row r="377" spans="1:27" s="41" customFormat="1" ht="31.2" customHeight="1" x14ac:dyDescent="0.2">
      <c r="A377" s="111" t="s">
        <v>1173</v>
      </c>
      <c r="B377" s="107" t="s">
        <v>43</v>
      </c>
      <c r="C377" s="116" t="s">
        <v>1174</v>
      </c>
      <c r="D377" s="105">
        <v>2006</v>
      </c>
      <c r="E377" s="84" t="s">
        <v>1175</v>
      </c>
      <c r="F377" s="84" t="s">
        <v>1176</v>
      </c>
      <c r="G377" s="109" t="str">
        <f>HYPERLINK("https://www.lyellcollection.org/toc/egsp/21/1")</f>
        <v>https://www.lyellcollection.org/toc/egsp/21/1</v>
      </c>
      <c r="H377" s="110" t="s">
        <v>70</v>
      </c>
      <c r="I377" s="27" t="s">
        <v>2912</v>
      </c>
      <c r="J377" s="23" t="s">
        <v>1273</v>
      </c>
      <c r="K377" s="102">
        <v>100</v>
      </c>
      <c r="L377" s="53"/>
    </row>
    <row r="378" spans="1:27" s="41" customFormat="1" ht="31.2" customHeight="1" x14ac:dyDescent="0.2">
      <c r="A378" s="111" t="s">
        <v>1177</v>
      </c>
      <c r="B378" s="107" t="s">
        <v>12</v>
      </c>
      <c r="C378" s="106" t="s">
        <v>1178</v>
      </c>
      <c r="D378" s="105">
        <v>2006</v>
      </c>
      <c r="E378" s="105" t="s">
        <v>1179</v>
      </c>
      <c r="F378" s="105" t="s">
        <v>1180</v>
      </c>
      <c r="G378" s="109" t="str">
        <f>HYPERLINK("https://www.lyellcollection.org/toc/sp/269/1")</f>
        <v>https://www.lyellcollection.org/toc/sp/269/1</v>
      </c>
      <c r="H378" s="110" t="s">
        <v>70</v>
      </c>
      <c r="I378" s="27" t="s">
        <v>2912</v>
      </c>
      <c r="J378" s="23" t="s">
        <v>1273</v>
      </c>
      <c r="K378" s="102">
        <v>37.5</v>
      </c>
      <c r="L378" s="86" t="s">
        <v>1033</v>
      </c>
    </row>
    <row r="379" spans="1:27" s="41" customFormat="1" ht="31.2" customHeight="1" x14ac:dyDescent="0.2">
      <c r="A379" s="111" t="s">
        <v>1181</v>
      </c>
      <c r="B379" s="107" t="s">
        <v>12</v>
      </c>
      <c r="C379" s="106" t="s">
        <v>1182</v>
      </c>
      <c r="D379" s="105">
        <v>2006</v>
      </c>
      <c r="E379" s="105" t="s">
        <v>1183</v>
      </c>
      <c r="F379" s="105" t="s">
        <v>1184</v>
      </c>
      <c r="G379" s="109" t="str">
        <f>HYPERLINK("https://www.lyellcollection.org/toc/sp/268/1")</f>
        <v>https://www.lyellcollection.org/toc/sp/268/1</v>
      </c>
      <c r="H379" s="110" t="s">
        <v>70</v>
      </c>
      <c r="I379" s="27" t="s">
        <v>2912</v>
      </c>
      <c r="J379" s="23" t="s">
        <v>1273</v>
      </c>
      <c r="K379" s="102">
        <v>125</v>
      </c>
      <c r="L379" s="86" t="s">
        <v>1033</v>
      </c>
    </row>
    <row r="380" spans="1:27" s="41" customFormat="1" ht="31.2" customHeight="1" x14ac:dyDescent="0.2">
      <c r="A380" s="111" t="s">
        <v>1185</v>
      </c>
      <c r="B380" s="107" t="s">
        <v>12</v>
      </c>
      <c r="C380" s="106" t="s">
        <v>1186</v>
      </c>
      <c r="D380" s="105">
        <v>2006</v>
      </c>
      <c r="E380" s="105" t="s">
        <v>1187</v>
      </c>
      <c r="F380" s="105" t="s">
        <v>1188</v>
      </c>
      <c r="G380" s="109" t="str">
        <f>HYPERLINK("https://www.lyellcollection.org/toc/sp/267/1")</f>
        <v>https://www.lyellcollection.org/toc/sp/267/1</v>
      </c>
      <c r="H380" s="110" t="s">
        <v>70</v>
      </c>
      <c r="I380" s="27" t="s">
        <v>2912</v>
      </c>
      <c r="J380" s="23" t="s">
        <v>1273</v>
      </c>
      <c r="K380" s="102">
        <v>80</v>
      </c>
      <c r="L380" s="86" t="s">
        <v>1033</v>
      </c>
    </row>
    <row r="381" spans="1:27" s="41" customFormat="1" ht="31.2" customHeight="1" x14ac:dyDescent="0.2">
      <c r="A381" s="111" t="s">
        <v>1189</v>
      </c>
      <c r="B381" s="107" t="s">
        <v>12</v>
      </c>
      <c r="C381" s="106" t="s">
        <v>1190</v>
      </c>
      <c r="D381" s="105">
        <v>2006</v>
      </c>
      <c r="E381" s="105" t="s">
        <v>1191</v>
      </c>
      <c r="F381" s="105" t="s">
        <v>1192</v>
      </c>
      <c r="G381" s="109" t="str">
        <f>HYPERLINK("https://www.lyellcollection.org/toc/sp/266/1")</f>
        <v>https://www.lyellcollection.org/toc/sp/266/1</v>
      </c>
      <c r="H381" s="110" t="s">
        <v>70</v>
      </c>
      <c r="I381" s="27" t="s">
        <v>2912</v>
      </c>
      <c r="J381" s="23" t="s">
        <v>1273</v>
      </c>
      <c r="K381" s="102">
        <v>37.5</v>
      </c>
      <c r="L381" s="86" t="s">
        <v>1033</v>
      </c>
    </row>
    <row r="382" spans="1:27" s="41" customFormat="1" ht="31.2" customHeight="1" x14ac:dyDescent="0.2">
      <c r="A382" s="111" t="s">
        <v>1193</v>
      </c>
      <c r="B382" s="107" t="s">
        <v>12</v>
      </c>
      <c r="C382" s="106" t="s">
        <v>1194</v>
      </c>
      <c r="D382" s="105">
        <v>2006</v>
      </c>
      <c r="E382" s="105" t="s">
        <v>1195</v>
      </c>
      <c r="F382" s="105" t="s">
        <v>1196</v>
      </c>
      <c r="G382" s="109" t="str">
        <f>HYPERLINK("https://www.lyellcollection.org/toc/sp/265/1")</f>
        <v>https://www.lyellcollection.org/toc/sp/265/1</v>
      </c>
      <c r="H382" s="110" t="s">
        <v>70</v>
      </c>
      <c r="I382" s="27" t="s">
        <v>2912</v>
      </c>
      <c r="J382" s="23" t="s">
        <v>1273</v>
      </c>
      <c r="K382" s="102">
        <v>85</v>
      </c>
      <c r="L382" s="86" t="s">
        <v>1033</v>
      </c>
    </row>
    <row r="383" spans="1:27" s="41" customFormat="1" ht="31.2" customHeight="1" x14ac:dyDescent="0.2">
      <c r="A383" s="111" t="s">
        <v>1197</v>
      </c>
      <c r="B383" s="107" t="s">
        <v>12</v>
      </c>
      <c r="C383" s="106" t="s">
        <v>1198</v>
      </c>
      <c r="D383" s="105">
        <v>2006</v>
      </c>
      <c r="E383" s="105" t="s">
        <v>1199</v>
      </c>
      <c r="F383" s="105" t="s">
        <v>1200</v>
      </c>
      <c r="G383" s="109" t="str">
        <f>HYPERLINK("https://www.lyellcollection.org/toc/sp/264/1")</f>
        <v>https://www.lyellcollection.org/toc/sp/264/1</v>
      </c>
      <c r="H383" s="110" t="s">
        <v>70</v>
      </c>
      <c r="I383" s="27" t="s">
        <v>2912</v>
      </c>
      <c r="J383" s="23" t="s">
        <v>1273</v>
      </c>
      <c r="K383" s="102">
        <v>75</v>
      </c>
      <c r="L383" s="86" t="s">
        <v>1033</v>
      </c>
    </row>
    <row r="384" spans="1:27" s="41" customFormat="1" ht="31.2" customHeight="1" x14ac:dyDescent="0.2">
      <c r="A384" s="111" t="s">
        <v>1201</v>
      </c>
      <c r="B384" s="107" t="s">
        <v>12</v>
      </c>
      <c r="C384" s="106" t="s">
        <v>1202</v>
      </c>
      <c r="D384" s="105">
        <v>2006</v>
      </c>
      <c r="E384" s="105" t="s">
        <v>1203</v>
      </c>
      <c r="F384" s="105" t="s">
        <v>1204</v>
      </c>
      <c r="G384" s="109" t="str">
        <f>HYPERLINK("https://www.lyellcollection.org/toc/sp/263/1")</f>
        <v>https://www.lyellcollection.org/toc/sp/263/1</v>
      </c>
      <c r="H384" s="110" t="s">
        <v>70</v>
      </c>
      <c r="I384" s="27" t="s">
        <v>2912</v>
      </c>
      <c r="J384" s="23" t="s">
        <v>1273</v>
      </c>
      <c r="K384" s="102">
        <v>42.5</v>
      </c>
      <c r="L384" s="86" t="s">
        <v>1033</v>
      </c>
    </row>
    <row r="385" spans="1:12" s="41" customFormat="1" ht="31.2" customHeight="1" x14ac:dyDescent="0.2">
      <c r="A385" s="111" t="s">
        <v>1205</v>
      </c>
      <c r="B385" s="107" t="s">
        <v>12</v>
      </c>
      <c r="C385" s="106" t="s">
        <v>1206</v>
      </c>
      <c r="D385" s="105">
        <v>2006</v>
      </c>
      <c r="E385" s="105" t="s">
        <v>1207</v>
      </c>
      <c r="F385" s="105" t="s">
        <v>1208</v>
      </c>
      <c r="G385" s="109" t="str">
        <f>HYPERLINK("https://www.lyellcollection.org/toc/sp/262/1")</f>
        <v>https://www.lyellcollection.org/toc/sp/262/1</v>
      </c>
      <c r="H385" s="110" t="s">
        <v>70</v>
      </c>
      <c r="I385" s="27" t="s">
        <v>2912</v>
      </c>
      <c r="J385" s="23" t="s">
        <v>1273</v>
      </c>
      <c r="K385" s="102">
        <v>42.5</v>
      </c>
      <c r="L385" s="86" t="s">
        <v>1033</v>
      </c>
    </row>
    <row r="386" spans="1:12" s="41" customFormat="1" ht="31.2" customHeight="1" x14ac:dyDescent="0.2">
      <c r="A386" s="111" t="s">
        <v>1209</v>
      </c>
      <c r="B386" s="107" t="s">
        <v>12</v>
      </c>
      <c r="C386" s="106" t="s">
        <v>1210</v>
      </c>
      <c r="D386" s="105">
        <v>2006</v>
      </c>
      <c r="E386" s="105" t="s">
        <v>1211</v>
      </c>
      <c r="F386" s="105" t="s">
        <v>1212</v>
      </c>
      <c r="G386" s="109" t="str">
        <f>HYPERLINK("https://www.lyellcollection.org/toc/sp/261/1")</f>
        <v>https://www.lyellcollection.org/toc/sp/261/1</v>
      </c>
      <c r="H386" s="110" t="s">
        <v>70</v>
      </c>
      <c r="I386" s="27" t="s">
        <v>2912</v>
      </c>
      <c r="J386" s="23" t="s">
        <v>1273</v>
      </c>
      <c r="K386" s="102">
        <v>37.5</v>
      </c>
      <c r="L386" s="86" t="s">
        <v>1033</v>
      </c>
    </row>
    <row r="387" spans="1:12" s="41" customFormat="1" ht="31.2" customHeight="1" x14ac:dyDescent="0.2">
      <c r="A387" s="111" t="s">
        <v>1213</v>
      </c>
      <c r="B387" s="107" t="s">
        <v>12</v>
      </c>
      <c r="C387" s="106" t="s">
        <v>1214</v>
      </c>
      <c r="D387" s="105">
        <v>2006</v>
      </c>
      <c r="E387" s="105" t="s">
        <v>1215</v>
      </c>
      <c r="F387" s="105" t="s">
        <v>1216</v>
      </c>
      <c r="G387" s="109" t="str">
        <f>HYPERLINK("https://www.lyellcollection.org/toc/sp/260/1")</f>
        <v>https://www.lyellcollection.org/toc/sp/260/1</v>
      </c>
      <c r="H387" s="110" t="s">
        <v>70</v>
      </c>
      <c r="I387" s="27" t="s">
        <v>2912</v>
      </c>
      <c r="J387" s="23" t="s">
        <v>1273</v>
      </c>
      <c r="K387" s="102">
        <v>50</v>
      </c>
      <c r="L387" s="86" t="s">
        <v>1033</v>
      </c>
    </row>
    <row r="388" spans="1:12" s="41" customFormat="1" ht="31.2" customHeight="1" x14ac:dyDescent="0.2">
      <c r="A388" s="111" t="s">
        <v>1217</v>
      </c>
      <c r="B388" s="107" t="s">
        <v>12</v>
      </c>
      <c r="C388" s="116" t="s">
        <v>1218</v>
      </c>
      <c r="D388" s="105">
        <v>2006</v>
      </c>
      <c r="E388" s="84" t="s">
        <v>1219</v>
      </c>
      <c r="F388" s="84" t="s">
        <v>1220</v>
      </c>
      <c r="G388" s="109" t="str">
        <f>HYPERLINK("https://www.lyellcollection.org/toc/sp/259/1")</f>
        <v>https://www.lyellcollection.org/toc/sp/259/1</v>
      </c>
      <c r="H388" s="110" t="s">
        <v>70</v>
      </c>
      <c r="I388" s="27" t="s">
        <v>2912</v>
      </c>
      <c r="J388" s="23" t="s">
        <v>1273</v>
      </c>
      <c r="K388" s="102">
        <v>40</v>
      </c>
      <c r="L388" s="86" t="s">
        <v>1033</v>
      </c>
    </row>
    <row r="389" spans="1:12" s="41" customFormat="1" ht="31.2" customHeight="1" x14ac:dyDescent="0.2">
      <c r="A389" s="111" t="s">
        <v>1221</v>
      </c>
      <c r="B389" s="107" t="s">
        <v>12</v>
      </c>
      <c r="C389" s="116" t="s">
        <v>1222</v>
      </c>
      <c r="D389" s="105">
        <v>2006</v>
      </c>
      <c r="E389" s="84" t="s">
        <v>1223</v>
      </c>
      <c r="F389" s="84" t="s">
        <v>1224</v>
      </c>
      <c r="G389" s="109" t="str">
        <f>HYPERLINK("https://www.lyellcollection.org/toc/sp/258/1")</f>
        <v>https://www.lyellcollection.org/toc/sp/258/1</v>
      </c>
      <c r="H389" s="110" t="s">
        <v>70</v>
      </c>
      <c r="I389" s="27" t="s">
        <v>2912</v>
      </c>
      <c r="J389" s="23" t="s">
        <v>1273</v>
      </c>
      <c r="K389" s="102">
        <v>75</v>
      </c>
      <c r="L389" s="86" t="s">
        <v>1033</v>
      </c>
    </row>
    <row r="390" spans="1:12" s="41" customFormat="1" ht="31.2" customHeight="1" x14ac:dyDescent="0.2">
      <c r="A390" s="111" t="s">
        <v>1225</v>
      </c>
      <c r="B390" s="107" t="s">
        <v>12</v>
      </c>
      <c r="C390" s="116" t="s">
        <v>1226</v>
      </c>
      <c r="D390" s="105">
        <v>2006</v>
      </c>
      <c r="E390" s="84" t="s">
        <v>1227</v>
      </c>
      <c r="F390" s="84" t="s">
        <v>1228</v>
      </c>
      <c r="G390" s="109" t="str">
        <f>HYPERLINK("https://www.lyellcollection.org/toc/sp/257/1")</f>
        <v>https://www.lyellcollection.org/toc/sp/257/1</v>
      </c>
      <c r="H390" s="110" t="s">
        <v>70</v>
      </c>
      <c r="I390" s="27" t="s">
        <v>2912</v>
      </c>
      <c r="J390" s="23" t="s">
        <v>71</v>
      </c>
      <c r="K390" s="102">
        <v>85</v>
      </c>
      <c r="L390" s="86" t="s">
        <v>1033</v>
      </c>
    </row>
    <row r="391" spans="1:12" s="41" customFormat="1" ht="31.2" customHeight="1" x14ac:dyDescent="0.2">
      <c r="A391" s="111" t="s">
        <v>1229</v>
      </c>
      <c r="B391" s="107" t="s">
        <v>12</v>
      </c>
      <c r="C391" s="116" t="s">
        <v>1230</v>
      </c>
      <c r="D391" s="105">
        <v>2006</v>
      </c>
      <c r="E391" s="84" t="s">
        <v>1231</v>
      </c>
      <c r="F391" s="84" t="s">
        <v>1232</v>
      </c>
      <c r="G391" s="109" t="str">
        <f>HYPERLINK("https://www.lyellcollection.org/toc/sp/256/1")</f>
        <v>https://www.lyellcollection.org/toc/sp/256/1</v>
      </c>
      <c r="H391" s="110" t="s">
        <v>70</v>
      </c>
      <c r="I391" s="27" t="s">
        <v>2912</v>
      </c>
      <c r="J391" s="23" t="s">
        <v>1273</v>
      </c>
      <c r="K391" s="102">
        <v>95</v>
      </c>
      <c r="L391" s="86" t="s">
        <v>1033</v>
      </c>
    </row>
    <row r="392" spans="1:12" s="41" customFormat="1" ht="31.2" customHeight="1" x14ac:dyDescent="0.2">
      <c r="A392" s="111" t="s">
        <v>1233</v>
      </c>
      <c r="B392" s="107" t="s">
        <v>12</v>
      </c>
      <c r="C392" s="116" t="s">
        <v>1234</v>
      </c>
      <c r="D392" s="105">
        <v>2006</v>
      </c>
      <c r="E392" s="84" t="s">
        <v>1235</v>
      </c>
      <c r="F392" s="84" t="s">
        <v>1236</v>
      </c>
      <c r="G392" s="109" t="str">
        <f>HYPERLINK("https://www.lyellcollection.org/toc/sp/255/1")</f>
        <v>https://www.lyellcollection.org/toc/sp/255/1</v>
      </c>
      <c r="H392" s="110" t="s">
        <v>70</v>
      </c>
      <c r="I392" s="27" t="s">
        <v>2912</v>
      </c>
      <c r="J392" s="23" t="s">
        <v>1273</v>
      </c>
      <c r="K392" s="102">
        <v>90</v>
      </c>
      <c r="L392" s="86" t="s">
        <v>1033</v>
      </c>
    </row>
    <row r="393" spans="1:12" s="41" customFormat="1" ht="31.2" customHeight="1" x14ac:dyDescent="0.2">
      <c r="A393" s="111" t="s">
        <v>1237</v>
      </c>
      <c r="B393" s="107" t="s">
        <v>12</v>
      </c>
      <c r="C393" s="116" t="s">
        <v>1238</v>
      </c>
      <c r="D393" s="105">
        <v>2006</v>
      </c>
      <c r="E393" s="84" t="s">
        <v>1239</v>
      </c>
      <c r="F393" s="84" t="s">
        <v>1240</v>
      </c>
      <c r="G393" s="109" t="str">
        <f>HYPERLINK("https://www.lyellcollection.org/toc/sp/254/1")</f>
        <v>https://www.lyellcollection.org/toc/sp/254/1</v>
      </c>
      <c r="H393" s="110" t="s">
        <v>70</v>
      </c>
      <c r="I393" s="27" t="s">
        <v>2912</v>
      </c>
      <c r="J393" s="23" t="s">
        <v>1077</v>
      </c>
      <c r="K393" s="102" t="e">
        <v>#N/A</v>
      </c>
      <c r="L393" s="86" t="s">
        <v>1033</v>
      </c>
    </row>
    <row r="394" spans="1:12" s="41" customFormat="1" ht="31.2" customHeight="1" x14ac:dyDescent="0.2">
      <c r="A394" s="111" t="s">
        <v>1241</v>
      </c>
      <c r="B394" s="107" t="s">
        <v>12</v>
      </c>
      <c r="C394" s="116" t="s">
        <v>1242</v>
      </c>
      <c r="D394" s="105">
        <v>2006</v>
      </c>
      <c r="E394" s="84" t="s">
        <v>1243</v>
      </c>
      <c r="F394" s="84" t="s">
        <v>1244</v>
      </c>
      <c r="G394" s="109" t="str">
        <f>HYPERLINK("https://www.lyellcollection.org/toc/sp/253/1")</f>
        <v>https://www.lyellcollection.org/toc/sp/253/1</v>
      </c>
      <c r="H394" s="110" t="s">
        <v>70</v>
      </c>
      <c r="I394" s="27" t="s">
        <v>2912</v>
      </c>
      <c r="J394" s="23" t="s">
        <v>1273</v>
      </c>
      <c r="K394" s="102">
        <v>42.5</v>
      </c>
      <c r="L394" s="86" t="s">
        <v>1033</v>
      </c>
    </row>
    <row r="395" spans="1:12" s="41" customFormat="1" ht="31.2" customHeight="1" x14ac:dyDescent="0.2">
      <c r="A395" s="111" t="s">
        <v>1245</v>
      </c>
      <c r="B395" s="113" t="s">
        <v>39</v>
      </c>
      <c r="C395" s="106" t="s">
        <v>1246</v>
      </c>
      <c r="D395" s="105">
        <v>2006</v>
      </c>
      <c r="E395" s="130" t="s">
        <v>1247</v>
      </c>
      <c r="F395" s="130" t="s">
        <v>1248</v>
      </c>
      <c r="G395" s="109" t="str">
        <f>HYPERLINK("https://www.lyellcollection.org/toc/mem/32/1")</f>
        <v>https://www.lyellcollection.org/toc/mem/32/1</v>
      </c>
      <c r="H395" s="110" t="s">
        <v>70</v>
      </c>
      <c r="I395" s="27" t="s">
        <v>2912</v>
      </c>
      <c r="J395" s="23" t="s">
        <v>71</v>
      </c>
      <c r="K395" s="102">
        <v>70</v>
      </c>
      <c r="L395" s="53"/>
    </row>
    <row r="396" spans="1:12" s="41" customFormat="1" ht="31.2" customHeight="1" x14ac:dyDescent="0.2">
      <c r="A396" s="111" t="s">
        <v>1161</v>
      </c>
      <c r="B396" s="106" t="s">
        <v>841</v>
      </c>
      <c r="C396" s="106" t="s">
        <v>1162</v>
      </c>
      <c r="D396" s="105">
        <v>2006</v>
      </c>
      <c r="E396" s="105" t="s">
        <v>1163</v>
      </c>
      <c r="F396" s="105" t="s">
        <v>1164</v>
      </c>
      <c r="G396" s="112" t="s">
        <v>79</v>
      </c>
      <c r="H396" s="191"/>
      <c r="I396" s="192"/>
      <c r="J396" s="23" t="s">
        <v>71</v>
      </c>
      <c r="K396" s="102">
        <v>85</v>
      </c>
      <c r="L396" s="53"/>
    </row>
    <row r="397" spans="1:12" s="41" customFormat="1" ht="31.2" customHeight="1" x14ac:dyDescent="0.2">
      <c r="A397" s="111" t="s">
        <v>1165</v>
      </c>
      <c r="B397" s="106" t="s">
        <v>88</v>
      </c>
      <c r="C397" s="116" t="s">
        <v>1166</v>
      </c>
      <c r="D397" s="105">
        <v>2006</v>
      </c>
      <c r="E397" s="105" t="s">
        <v>1167</v>
      </c>
      <c r="F397" s="125" t="s">
        <v>1168</v>
      </c>
      <c r="G397" s="177" t="s">
        <v>185</v>
      </c>
      <c r="H397" s="95" t="s">
        <v>186</v>
      </c>
      <c r="I397" s="27" t="s">
        <v>187</v>
      </c>
      <c r="J397" s="23" t="s">
        <v>71</v>
      </c>
      <c r="K397" s="102">
        <v>35</v>
      </c>
      <c r="L397" s="53"/>
    </row>
    <row r="398" spans="1:12" s="41" customFormat="1" ht="31.2" customHeight="1" x14ac:dyDescent="0.2">
      <c r="A398" s="111" t="s">
        <v>1169</v>
      </c>
      <c r="B398" s="106" t="s">
        <v>88</v>
      </c>
      <c r="C398" s="116" t="s">
        <v>1170</v>
      </c>
      <c r="D398" s="105">
        <v>2006</v>
      </c>
      <c r="E398" s="105" t="s">
        <v>1171</v>
      </c>
      <c r="F398" s="125" t="s">
        <v>1172</v>
      </c>
      <c r="G398" s="177" t="s">
        <v>185</v>
      </c>
      <c r="H398" s="95" t="s">
        <v>186</v>
      </c>
      <c r="I398" s="27" t="s">
        <v>187</v>
      </c>
      <c r="J398" s="23" t="s">
        <v>1077</v>
      </c>
      <c r="K398" s="102" t="e">
        <v>#N/A</v>
      </c>
      <c r="L398" s="53"/>
    </row>
    <row r="399" spans="1:12" s="41" customFormat="1" ht="31.2" customHeight="1" x14ac:dyDescent="0.2">
      <c r="A399" s="106" t="s">
        <v>1249</v>
      </c>
      <c r="B399" s="106" t="s">
        <v>427</v>
      </c>
      <c r="C399" s="106" t="s">
        <v>1250</v>
      </c>
      <c r="D399" s="105">
        <v>2005</v>
      </c>
      <c r="E399" s="105" t="s">
        <v>1251</v>
      </c>
      <c r="F399" s="105" t="s">
        <v>1252</v>
      </c>
      <c r="G399" s="112" t="s">
        <v>79</v>
      </c>
      <c r="H399" s="191"/>
      <c r="I399" s="192"/>
      <c r="J399" s="23" t="s">
        <v>71</v>
      </c>
      <c r="K399" s="102">
        <v>42.5</v>
      </c>
      <c r="L399" s="53"/>
    </row>
    <row r="400" spans="1:12" s="41" customFormat="1" ht="31.2" customHeight="1" x14ac:dyDescent="0.2">
      <c r="A400" s="111" t="s">
        <v>1253</v>
      </c>
      <c r="B400" s="107" t="s">
        <v>12</v>
      </c>
      <c r="C400" s="116" t="s">
        <v>1254</v>
      </c>
      <c r="D400" s="105">
        <v>2005</v>
      </c>
      <c r="E400" s="84" t="s">
        <v>1255</v>
      </c>
      <c r="F400" s="84" t="s">
        <v>1256</v>
      </c>
      <c r="G400" s="109" t="str">
        <f>HYPERLINK("https://www.lyellcollection.org/toc/sp/252/1")</f>
        <v>https://www.lyellcollection.org/toc/sp/252/1</v>
      </c>
      <c r="H400" s="110" t="s">
        <v>70</v>
      </c>
      <c r="I400" s="27" t="s">
        <v>2912</v>
      </c>
      <c r="J400" s="23" t="s">
        <v>1273</v>
      </c>
      <c r="K400" s="102">
        <v>47.5</v>
      </c>
      <c r="L400" s="86" t="s">
        <v>1033</v>
      </c>
    </row>
    <row r="401" spans="1:12" s="41" customFormat="1" ht="31.2" customHeight="1" x14ac:dyDescent="0.2">
      <c r="A401" s="111" t="s">
        <v>1257</v>
      </c>
      <c r="B401" s="107" t="s">
        <v>12</v>
      </c>
      <c r="C401" s="116" t="s">
        <v>1258</v>
      </c>
      <c r="D401" s="105">
        <v>2005</v>
      </c>
      <c r="E401" s="84" t="s">
        <v>1259</v>
      </c>
      <c r="F401" s="84" t="s">
        <v>1260</v>
      </c>
      <c r="G401" s="109" t="str">
        <f>HYPERLINK("https://www.lyellcollection.org/toc/sp/251/1")</f>
        <v>https://www.lyellcollection.org/toc/sp/251/1</v>
      </c>
      <c r="H401" s="110" t="s">
        <v>70</v>
      </c>
      <c r="I401" s="27" t="s">
        <v>2912</v>
      </c>
      <c r="J401" s="23" t="s">
        <v>71</v>
      </c>
      <c r="K401" s="102">
        <v>75</v>
      </c>
      <c r="L401" s="86" t="s">
        <v>1033</v>
      </c>
    </row>
    <row r="402" spans="1:12" s="41" customFormat="1" ht="31.2" customHeight="1" x14ac:dyDescent="0.2">
      <c r="A402" s="111" t="s">
        <v>1261</v>
      </c>
      <c r="B402" s="107" t="s">
        <v>12</v>
      </c>
      <c r="C402" s="116" t="s">
        <v>1262</v>
      </c>
      <c r="D402" s="105">
        <v>2005</v>
      </c>
      <c r="E402" s="84" t="s">
        <v>1263</v>
      </c>
      <c r="F402" s="84" t="s">
        <v>1264</v>
      </c>
      <c r="G402" s="109" t="str">
        <f>HYPERLINK("https://www.lyellcollection.org/toc/sp/250/1")</f>
        <v>https://www.lyellcollection.org/toc/sp/250/1</v>
      </c>
      <c r="H402" s="110" t="s">
        <v>70</v>
      </c>
      <c r="I402" s="27" t="s">
        <v>2912</v>
      </c>
      <c r="J402" s="23" t="s">
        <v>1273</v>
      </c>
      <c r="K402" s="102">
        <v>85</v>
      </c>
      <c r="L402" s="86" t="s">
        <v>1033</v>
      </c>
    </row>
    <row r="403" spans="1:12" s="41" customFormat="1" ht="31.2" customHeight="1" x14ac:dyDescent="0.2">
      <c r="A403" s="111" t="s">
        <v>1265</v>
      </c>
      <c r="B403" s="107" t="s">
        <v>12</v>
      </c>
      <c r="C403" s="116" t="s">
        <v>1266</v>
      </c>
      <c r="D403" s="105">
        <v>2005</v>
      </c>
      <c r="E403" s="84" t="s">
        <v>1267</v>
      </c>
      <c r="F403" s="84" t="s">
        <v>1268</v>
      </c>
      <c r="G403" s="109" t="str">
        <f>HYPERLINK("https://www.lyellcollection.org/toc/sp/249/1")</f>
        <v>https://www.lyellcollection.org/toc/sp/249/1</v>
      </c>
      <c r="H403" s="110" t="s">
        <v>70</v>
      </c>
      <c r="I403" s="27" t="s">
        <v>2912</v>
      </c>
      <c r="J403" s="23" t="s">
        <v>1273</v>
      </c>
      <c r="K403" s="102">
        <v>70</v>
      </c>
      <c r="L403" s="86" t="s">
        <v>1033</v>
      </c>
    </row>
    <row r="404" spans="1:12" s="41" customFormat="1" ht="31.2" customHeight="1" x14ac:dyDescent="0.2">
      <c r="A404" s="111" t="s">
        <v>1269</v>
      </c>
      <c r="B404" s="107" t="s">
        <v>12</v>
      </c>
      <c r="C404" s="116" t="s">
        <v>1270</v>
      </c>
      <c r="D404" s="105">
        <v>2005</v>
      </c>
      <c r="E404" s="84" t="s">
        <v>1271</v>
      </c>
      <c r="F404" s="84" t="s">
        <v>1272</v>
      </c>
      <c r="G404" s="109" t="str">
        <f>HYPERLINK("https://www.lyellcollection.org/toc/sp/248/1")</f>
        <v>https://www.lyellcollection.org/toc/sp/248/1</v>
      </c>
      <c r="H404" s="110" t="s">
        <v>70</v>
      </c>
      <c r="I404" s="27" t="s">
        <v>2912</v>
      </c>
      <c r="J404" s="23" t="s">
        <v>1273</v>
      </c>
      <c r="K404" s="102">
        <v>85</v>
      </c>
      <c r="L404" s="86" t="s">
        <v>1033</v>
      </c>
    </row>
    <row r="405" spans="1:12" s="41" customFormat="1" ht="31.2" customHeight="1" x14ac:dyDescent="0.2">
      <c r="A405" s="111" t="s">
        <v>1274</v>
      </c>
      <c r="B405" s="107" t="s">
        <v>12</v>
      </c>
      <c r="C405" s="116" t="s">
        <v>1275</v>
      </c>
      <c r="D405" s="105">
        <v>2005</v>
      </c>
      <c r="E405" s="84" t="s">
        <v>1276</v>
      </c>
      <c r="F405" s="84" t="s">
        <v>1277</v>
      </c>
      <c r="G405" s="109" t="str">
        <f>HYPERLINK("https://www.lyellcollection.org/toc/sp/247/1")</f>
        <v>https://www.lyellcollection.org/toc/sp/247/1</v>
      </c>
      <c r="H405" s="110" t="s">
        <v>70</v>
      </c>
      <c r="I405" s="27" t="s">
        <v>2912</v>
      </c>
      <c r="J405" s="23" t="s">
        <v>1273</v>
      </c>
      <c r="K405" s="102">
        <v>47.5</v>
      </c>
      <c r="L405" s="86" t="s">
        <v>1033</v>
      </c>
    </row>
    <row r="406" spans="1:12" s="41" customFormat="1" ht="31.2" customHeight="1" x14ac:dyDescent="0.2">
      <c r="A406" s="111" t="s">
        <v>1278</v>
      </c>
      <c r="B406" s="107" t="s">
        <v>12</v>
      </c>
      <c r="C406" s="116" t="s">
        <v>1279</v>
      </c>
      <c r="D406" s="105">
        <v>2005</v>
      </c>
      <c r="E406" s="84" t="s">
        <v>1280</v>
      </c>
      <c r="F406" s="84" t="s">
        <v>1281</v>
      </c>
      <c r="G406" s="109" t="str">
        <f>HYPERLINK("https://www.lyellcollection.org/toc/sp/246/1")</f>
        <v>https://www.lyellcollection.org/toc/sp/246/1</v>
      </c>
      <c r="H406" s="110" t="s">
        <v>70</v>
      </c>
      <c r="I406" s="27" t="s">
        <v>2912</v>
      </c>
      <c r="J406" s="23" t="s">
        <v>1273</v>
      </c>
      <c r="K406" s="102">
        <v>52.5</v>
      </c>
      <c r="L406" s="86" t="s">
        <v>1033</v>
      </c>
    </row>
    <row r="407" spans="1:12" s="41" customFormat="1" ht="31.2" customHeight="1" x14ac:dyDescent="0.2">
      <c r="A407" s="111" t="s">
        <v>1282</v>
      </c>
      <c r="B407" s="107" t="s">
        <v>12</v>
      </c>
      <c r="C407" s="116" t="s">
        <v>1283</v>
      </c>
      <c r="D407" s="105">
        <v>2005</v>
      </c>
      <c r="E407" s="84" t="s">
        <v>1284</v>
      </c>
      <c r="F407" s="84" t="s">
        <v>1285</v>
      </c>
      <c r="G407" s="109" t="str">
        <f>HYPERLINK("https://www.lyellcollection.org/toc/sp/245/1")</f>
        <v>https://www.lyellcollection.org/toc/sp/245/1</v>
      </c>
      <c r="H407" s="110" t="s">
        <v>70</v>
      </c>
      <c r="I407" s="27" t="s">
        <v>2912</v>
      </c>
      <c r="J407" s="23" t="s">
        <v>71</v>
      </c>
      <c r="K407" s="102">
        <v>105</v>
      </c>
      <c r="L407" s="86" t="s">
        <v>1033</v>
      </c>
    </row>
    <row r="408" spans="1:12" s="41" customFormat="1" ht="31.2" customHeight="1" x14ac:dyDescent="0.2">
      <c r="A408" s="111" t="s">
        <v>1286</v>
      </c>
      <c r="B408" s="107" t="s">
        <v>12</v>
      </c>
      <c r="C408" s="116" t="s">
        <v>1287</v>
      </c>
      <c r="D408" s="105">
        <v>2005</v>
      </c>
      <c r="E408" s="84" t="s">
        <v>1288</v>
      </c>
      <c r="F408" s="84" t="s">
        <v>1289</v>
      </c>
      <c r="G408" s="109" t="str">
        <f>HYPERLINK("https://www.lyellcollection.org/toc/sp/244/1")</f>
        <v>https://www.lyellcollection.org/toc/sp/244/1</v>
      </c>
      <c r="H408" s="110" t="s">
        <v>70</v>
      </c>
      <c r="I408" s="27" t="s">
        <v>2912</v>
      </c>
      <c r="J408" s="23" t="s">
        <v>1273</v>
      </c>
      <c r="K408" s="102">
        <v>75</v>
      </c>
      <c r="L408" s="86" t="s">
        <v>1033</v>
      </c>
    </row>
    <row r="409" spans="1:12" s="41" customFormat="1" ht="31.2" customHeight="1" x14ac:dyDescent="0.2">
      <c r="A409" s="111" t="s">
        <v>1290</v>
      </c>
      <c r="B409" s="107" t="s">
        <v>12</v>
      </c>
      <c r="C409" s="116" t="s">
        <v>1291</v>
      </c>
      <c r="D409" s="105">
        <v>2005</v>
      </c>
      <c r="E409" s="84" t="s">
        <v>1292</v>
      </c>
      <c r="F409" s="84" t="s">
        <v>1293</v>
      </c>
      <c r="G409" s="109" t="str">
        <f>HYPERLINK("https://www.lyellcollection.org/toc/sp/243/1")</f>
        <v>https://www.lyellcollection.org/toc/sp/243/1</v>
      </c>
      <c r="H409" s="110" t="s">
        <v>70</v>
      </c>
      <c r="I409" s="27" t="s">
        <v>2912</v>
      </c>
      <c r="J409" s="23" t="s">
        <v>1273</v>
      </c>
      <c r="K409" s="102">
        <v>50</v>
      </c>
      <c r="L409" s="86" t="s">
        <v>1033</v>
      </c>
    </row>
    <row r="410" spans="1:12" s="41" customFormat="1" ht="31.2" customHeight="1" x14ac:dyDescent="0.2">
      <c r="A410" s="111" t="s">
        <v>1294</v>
      </c>
      <c r="B410" s="107" t="s">
        <v>12</v>
      </c>
      <c r="C410" s="116" t="s">
        <v>1295</v>
      </c>
      <c r="D410" s="105">
        <v>2005</v>
      </c>
      <c r="E410" s="84" t="s">
        <v>1296</v>
      </c>
      <c r="F410" s="84" t="s">
        <v>1297</v>
      </c>
      <c r="G410" s="109" t="str">
        <f>HYPERLINK("https://www.lyellcollection.org/toc/sp/242/1")</f>
        <v>https://www.lyellcollection.org/toc/sp/242/1</v>
      </c>
      <c r="H410" s="110" t="s">
        <v>70</v>
      </c>
      <c r="I410" s="27" t="s">
        <v>2912</v>
      </c>
      <c r="J410" s="23" t="s">
        <v>1273</v>
      </c>
      <c r="K410" s="102">
        <v>70</v>
      </c>
      <c r="L410" s="86" t="s">
        <v>1033</v>
      </c>
    </row>
    <row r="411" spans="1:12" s="41" customFormat="1" ht="31.2" customHeight="1" x14ac:dyDescent="0.2">
      <c r="A411" s="111" t="s">
        <v>1298</v>
      </c>
      <c r="B411" s="107" t="s">
        <v>12</v>
      </c>
      <c r="C411" s="116" t="s">
        <v>1299</v>
      </c>
      <c r="D411" s="105">
        <v>2005</v>
      </c>
      <c r="E411" s="84" t="s">
        <v>1300</v>
      </c>
      <c r="F411" s="84" t="s">
        <v>1301</v>
      </c>
      <c r="G411" s="109" t="str">
        <f>HYPERLINK("https://www.lyellcollection.org/toc/sp/241/1")</f>
        <v>https://www.lyellcollection.org/toc/sp/241/1</v>
      </c>
      <c r="H411" s="110" t="s">
        <v>70</v>
      </c>
      <c r="I411" s="27" t="s">
        <v>2912</v>
      </c>
      <c r="J411" s="23" t="s">
        <v>1273</v>
      </c>
      <c r="K411" s="102">
        <v>90</v>
      </c>
      <c r="L411" s="86" t="s">
        <v>1033</v>
      </c>
    </row>
    <row r="412" spans="1:12" s="41" customFormat="1" ht="31.2" customHeight="1" x14ac:dyDescent="0.2">
      <c r="A412" s="111" t="s">
        <v>1302</v>
      </c>
      <c r="B412" s="107" t="s">
        <v>12</v>
      </c>
      <c r="C412" s="116" t="s">
        <v>1303</v>
      </c>
      <c r="D412" s="105">
        <v>2005</v>
      </c>
      <c r="E412" s="84" t="s">
        <v>1304</v>
      </c>
      <c r="F412" s="84" t="s">
        <v>1305</v>
      </c>
      <c r="G412" s="109" t="str">
        <f>HYPERLINK("https://www.lyellcollection.org/toc/sp/240/1")</f>
        <v>https://www.lyellcollection.org/toc/sp/240/1</v>
      </c>
      <c r="H412" s="110" t="s">
        <v>70</v>
      </c>
      <c r="I412" s="27" t="s">
        <v>2912</v>
      </c>
      <c r="J412" s="23" t="s">
        <v>1273</v>
      </c>
      <c r="K412" s="102">
        <v>95</v>
      </c>
      <c r="L412" s="86" t="s">
        <v>1033</v>
      </c>
    </row>
    <row r="413" spans="1:12" s="41" customFormat="1" ht="31.2" customHeight="1" x14ac:dyDescent="0.2">
      <c r="A413" s="111" t="s">
        <v>1306</v>
      </c>
      <c r="B413" s="107" t="s">
        <v>423</v>
      </c>
      <c r="C413" s="116" t="s">
        <v>1307</v>
      </c>
      <c r="D413" s="105">
        <v>2005</v>
      </c>
      <c r="E413" s="105" t="s">
        <v>1308</v>
      </c>
      <c r="F413" s="105" t="s">
        <v>1309</v>
      </c>
      <c r="G413" s="109" t="str">
        <f>HYPERLINK("https://www.lyellcollection.org/toc/pgc/6/1")</f>
        <v>https://www.lyellcollection.org/toc/pgc/6/1</v>
      </c>
      <c r="H413" s="110" t="s">
        <v>70</v>
      </c>
      <c r="I413" s="27" t="s">
        <v>2912</v>
      </c>
      <c r="J413" s="23" t="s">
        <v>1077</v>
      </c>
      <c r="K413" s="102" t="e">
        <v>#N/A</v>
      </c>
      <c r="L413" s="53"/>
    </row>
    <row r="414" spans="1:12" s="41" customFormat="1" ht="31.2" customHeight="1" x14ac:dyDescent="0.2">
      <c r="A414" s="121" t="s">
        <v>1310</v>
      </c>
      <c r="B414" s="113" t="s">
        <v>39</v>
      </c>
      <c r="C414" s="116" t="s">
        <v>1311</v>
      </c>
      <c r="D414" s="105">
        <v>2005</v>
      </c>
      <c r="E414" s="84" t="s">
        <v>1312</v>
      </c>
      <c r="F414" s="84" t="s">
        <v>1313</v>
      </c>
      <c r="G414" s="109" t="str">
        <f>HYPERLINK("https://www.lyellcollection.org/toc/mem/31/1")</f>
        <v>https://www.lyellcollection.org/toc/mem/31/1</v>
      </c>
      <c r="H414" s="110" t="s">
        <v>70</v>
      </c>
      <c r="I414" s="27" t="s">
        <v>2912</v>
      </c>
      <c r="J414" s="23" t="s">
        <v>1273</v>
      </c>
      <c r="K414" s="102">
        <v>85</v>
      </c>
      <c r="L414" s="53"/>
    </row>
    <row r="415" spans="1:12" s="41" customFormat="1" ht="31.2" customHeight="1" x14ac:dyDescent="0.2">
      <c r="A415" s="121" t="s">
        <v>1318</v>
      </c>
      <c r="B415" s="107" t="s">
        <v>43</v>
      </c>
      <c r="C415" s="116" t="s">
        <v>1319</v>
      </c>
      <c r="D415" s="105">
        <v>2004</v>
      </c>
      <c r="E415" s="84" t="s">
        <v>1320</v>
      </c>
      <c r="F415" s="84" t="s">
        <v>1321</v>
      </c>
      <c r="G415" s="109" t="str">
        <f>HYPERLINK("https://www.lyellcollection.org/toc/egsp/20/1")</f>
        <v>https://www.lyellcollection.org/toc/egsp/20/1</v>
      </c>
      <c r="H415" s="110" t="s">
        <v>70</v>
      </c>
      <c r="I415" s="27" t="s">
        <v>2912</v>
      </c>
      <c r="J415" s="23" t="s">
        <v>1273</v>
      </c>
      <c r="K415" s="102">
        <v>60</v>
      </c>
      <c r="L415" s="53"/>
    </row>
    <row r="416" spans="1:12" s="41" customFormat="1" ht="31.2" customHeight="1" x14ac:dyDescent="0.2">
      <c r="A416" s="111" t="s">
        <v>1322</v>
      </c>
      <c r="B416" s="107" t="s">
        <v>12</v>
      </c>
      <c r="C416" s="116" t="s">
        <v>1323</v>
      </c>
      <c r="D416" s="105">
        <v>2004</v>
      </c>
      <c r="E416" s="84" t="s">
        <v>1324</v>
      </c>
      <c r="F416" s="84" t="s">
        <v>1325</v>
      </c>
      <c r="G416" s="109" t="str">
        <f>HYPERLINK("https://www.lyellcollection.org/toc/sp/239/1")</f>
        <v>https://www.lyellcollection.org/toc/sp/239/1</v>
      </c>
      <c r="H416" s="110" t="s">
        <v>70</v>
      </c>
      <c r="I416" s="27" t="s">
        <v>2912</v>
      </c>
      <c r="J416" s="23" t="s">
        <v>1273</v>
      </c>
      <c r="K416" s="102">
        <v>45</v>
      </c>
      <c r="L416" s="86" t="s">
        <v>1033</v>
      </c>
    </row>
    <row r="417" spans="1:12" s="41" customFormat="1" ht="31.2" customHeight="1" x14ac:dyDescent="0.2">
      <c r="A417" s="111" t="s">
        <v>1326</v>
      </c>
      <c r="B417" s="107" t="s">
        <v>12</v>
      </c>
      <c r="C417" s="116" t="s">
        <v>1327</v>
      </c>
      <c r="D417" s="105">
        <v>2004</v>
      </c>
      <c r="E417" s="84" t="s">
        <v>1328</v>
      </c>
      <c r="F417" s="84" t="s">
        <v>1329</v>
      </c>
      <c r="G417" s="109" t="str">
        <f>HYPERLINK("https://www.lyellcollection.org/toc/sp/238/1")</f>
        <v>https://www.lyellcollection.org/toc/sp/238/1</v>
      </c>
      <c r="H417" s="110" t="s">
        <v>70</v>
      </c>
      <c r="I417" s="27" t="s">
        <v>2912</v>
      </c>
      <c r="J417" s="23" t="s">
        <v>1273</v>
      </c>
      <c r="K417" s="102">
        <v>72.5</v>
      </c>
      <c r="L417" s="86" t="s">
        <v>1033</v>
      </c>
    </row>
    <row r="418" spans="1:12" s="41" customFormat="1" ht="31.2" customHeight="1" x14ac:dyDescent="0.2">
      <c r="A418" s="111" t="s">
        <v>1330</v>
      </c>
      <c r="B418" s="107" t="s">
        <v>12</v>
      </c>
      <c r="C418" s="116" t="s">
        <v>1331</v>
      </c>
      <c r="D418" s="105">
        <v>2004</v>
      </c>
      <c r="E418" s="84" t="s">
        <v>1332</v>
      </c>
      <c r="F418" s="84" t="s">
        <v>1333</v>
      </c>
      <c r="G418" s="109" t="str">
        <f>HYPERLINK("https://www.lyellcollection.org/toc/sp/237/1")</f>
        <v>https://www.lyellcollection.org/toc/sp/237/1</v>
      </c>
      <c r="H418" s="110" t="s">
        <v>70</v>
      </c>
      <c r="I418" s="27" t="s">
        <v>2912</v>
      </c>
      <c r="J418" s="23" t="s">
        <v>1273</v>
      </c>
      <c r="K418" s="102">
        <v>52.5</v>
      </c>
      <c r="L418" s="86" t="s">
        <v>1033</v>
      </c>
    </row>
    <row r="419" spans="1:12" s="41" customFormat="1" ht="31.2" customHeight="1" x14ac:dyDescent="0.2">
      <c r="A419" s="111" t="s">
        <v>1334</v>
      </c>
      <c r="B419" s="107" t="s">
        <v>12</v>
      </c>
      <c r="C419" s="116" t="s">
        <v>1335</v>
      </c>
      <c r="D419" s="105">
        <v>2004</v>
      </c>
      <c r="E419" s="84" t="s">
        <v>1336</v>
      </c>
      <c r="F419" s="84" t="s">
        <v>1337</v>
      </c>
      <c r="G419" s="109" t="str">
        <f>HYPERLINK("https://www.lyellcollection.org/toc/sp/236/1")</f>
        <v>https://www.lyellcollection.org/toc/sp/236/1</v>
      </c>
      <c r="H419" s="110" t="s">
        <v>70</v>
      </c>
      <c r="I419" s="27" t="s">
        <v>2912</v>
      </c>
      <c r="J419" s="23" t="s">
        <v>1273</v>
      </c>
      <c r="K419" s="102">
        <v>145</v>
      </c>
      <c r="L419" s="86" t="s">
        <v>1033</v>
      </c>
    </row>
    <row r="420" spans="1:12" s="41" customFormat="1" ht="31.2" customHeight="1" x14ac:dyDescent="0.2">
      <c r="A420" s="111" t="s">
        <v>1338</v>
      </c>
      <c r="B420" s="107" t="s">
        <v>12</v>
      </c>
      <c r="C420" s="116" t="s">
        <v>1339</v>
      </c>
      <c r="D420" s="105">
        <v>2004</v>
      </c>
      <c r="E420" s="84" t="s">
        <v>1340</v>
      </c>
      <c r="F420" s="84" t="s">
        <v>1341</v>
      </c>
      <c r="G420" s="109" t="str">
        <f>HYPERLINK("https://www.lyellcollection.org/toc/sp/235/1")</f>
        <v>https://www.lyellcollection.org/toc/sp/235/1</v>
      </c>
      <c r="H420" s="110" t="s">
        <v>70</v>
      </c>
      <c r="I420" s="27" t="s">
        <v>2912</v>
      </c>
      <c r="J420" s="23" t="s">
        <v>1273</v>
      </c>
      <c r="K420" s="102">
        <v>52.5</v>
      </c>
      <c r="L420" s="86" t="s">
        <v>1033</v>
      </c>
    </row>
    <row r="421" spans="1:12" s="41" customFormat="1" ht="31.2" customHeight="1" x14ac:dyDescent="0.2">
      <c r="A421" s="111" t="s">
        <v>1342</v>
      </c>
      <c r="B421" s="107" t="s">
        <v>12</v>
      </c>
      <c r="C421" s="116" t="s">
        <v>1343</v>
      </c>
      <c r="D421" s="105">
        <v>2004</v>
      </c>
      <c r="E421" s="84" t="s">
        <v>1344</v>
      </c>
      <c r="F421" s="84" t="s">
        <v>1345</v>
      </c>
      <c r="G421" s="109" t="str">
        <f>HYPERLINK("https://www.lyellcollection.org/toc/sp/234/1")</f>
        <v>https://www.lyellcollection.org/toc/sp/234/1</v>
      </c>
      <c r="H421" s="110" t="s">
        <v>70</v>
      </c>
      <c r="I421" s="27" t="s">
        <v>2912</v>
      </c>
      <c r="J421" s="23" t="s">
        <v>1273</v>
      </c>
      <c r="K421" s="102">
        <v>90</v>
      </c>
      <c r="L421" s="86" t="s">
        <v>1033</v>
      </c>
    </row>
    <row r="422" spans="1:12" s="41" customFormat="1" ht="31.2" customHeight="1" x14ac:dyDescent="0.2">
      <c r="A422" s="111" t="s">
        <v>1346</v>
      </c>
      <c r="B422" s="107" t="s">
        <v>12</v>
      </c>
      <c r="C422" s="116" t="s">
        <v>1347</v>
      </c>
      <c r="D422" s="105">
        <v>2004</v>
      </c>
      <c r="E422" s="84" t="s">
        <v>1348</v>
      </c>
      <c r="F422" s="84" t="s">
        <v>1349</v>
      </c>
      <c r="G422" s="109" t="str">
        <f>HYPERLINK("https://www.lyellcollection.org/toc/sp/233/1")</f>
        <v>https://www.lyellcollection.org/toc/sp/233/1</v>
      </c>
      <c r="H422" s="110" t="s">
        <v>70</v>
      </c>
      <c r="I422" s="27" t="s">
        <v>2912</v>
      </c>
      <c r="J422" s="23" t="s">
        <v>1077</v>
      </c>
      <c r="K422" s="102" t="e">
        <v>#N/A</v>
      </c>
      <c r="L422" s="86" t="s">
        <v>1033</v>
      </c>
    </row>
    <row r="423" spans="1:12" s="41" customFormat="1" ht="31.2" customHeight="1" x14ac:dyDescent="0.2">
      <c r="A423" s="111" t="s">
        <v>1350</v>
      </c>
      <c r="B423" s="107" t="s">
        <v>12</v>
      </c>
      <c r="C423" s="116" t="s">
        <v>1351</v>
      </c>
      <c r="D423" s="105">
        <v>2004</v>
      </c>
      <c r="E423" s="84" t="s">
        <v>1352</v>
      </c>
      <c r="F423" s="84" t="s">
        <v>1353</v>
      </c>
      <c r="G423" s="109" t="str">
        <f>HYPERLINK("https://www.lyellcollection.org/toc/sp/232/1")</f>
        <v>https://www.lyellcollection.org/toc/sp/232/1</v>
      </c>
      <c r="H423" s="110" t="s">
        <v>70</v>
      </c>
      <c r="I423" s="27" t="s">
        <v>2912</v>
      </c>
      <c r="J423" s="23" t="s">
        <v>1273</v>
      </c>
      <c r="K423" s="102">
        <v>90</v>
      </c>
      <c r="L423" s="86" t="s">
        <v>1033</v>
      </c>
    </row>
    <row r="424" spans="1:12" s="41" customFormat="1" ht="31.2" customHeight="1" x14ac:dyDescent="0.2">
      <c r="A424" s="111" t="s">
        <v>1354</v>
      </c>
      <c r="B424" s="107" t="s">
        <v>12</v>
      </c>
      <c r="C424" s="116" t="s">
        <v>1355</v>
      </c>
      <c r="D424" s="105">
        <v>2004</v>
      </c>
      <c r="E424" s="84" t="s">
        <v>1356</v>
      </c>
      <c r="F424" s="84" t="s">
        <v>1357</v>
      </c>
      <c r="G424" s="109" t="str">
        <f>HYPERLINK("https://www.lyellcollection.org/toc/sp/231/1")</f>
        <v>https://www.lyellcollection.org/toc/sp/231/1</v>
      </c>
      <c r="H424" s="110" t="s">
        <v>70</v>
      </c>
      <c r="I424" s="27" t="s">
        <v>2912</v>
      </c>
      <c r="J424" s="23" t="s">
        <v>71</v>
      </c>
      <c r="K424" s="102">
        <v>95</v>
      </c>
      <c r="L424" s="86" t="s">
        <v>1033</v>
      </c>
    </row>
    <row r="425" spans="1:12" s="41" customFormat="1" ht="31.2" customHeight="1" x14ac:dyDescent="0.2">
      <c r="A425" s="111" t="s">
        <v>1358</v>
      </c>
      <c r="B425" s="107" t="s">
        <v>12</v>
      </c>
      <c r="C425" s="116" t="s">
        <v>1359</v>
      </c>
      <c r="D425" s="105">
        <v>2004</v>
      </c>
      <c r="E425" s="84" t="s">
        <v>1360</v>
      </c>
      <c r="F425" s="84" t="s">
        <v>1361</v>
      </c>
      <c r="G425" s="109" t="str">
        <f>HYPERLINK("https://www.lyellcollection.org/toc/sp/230/1")</f>
        <v>https://www.lyellcollection.org/toc/sp/230/1</v>
      </c>
      <c r="H425" s="110" t="s">
        <v>70</v>
      </c>
      <c r="I425" s="27" t="s">
        <v>2912</v>
      </c>
      <c r="J425" s="23" t="s">
        <v>1273</v>
      </c>
      <c r="K425" s="102">
        <v>95</v>
      </c>
      <c r="L425" s="86" t="s">
        <v>1033</v>
      </c>
    </row>
    <row r="426" spans="1:12" s="41" customFormat="1" ht="31.2" customHeight="1" x14ac:dyDescent="0.2">
      <c r="A426" s="111" t="s">
        <v>1362</v>
      </c>
      <c r="B426" s="107" t="s">
        <v>12</v>
      </c>
      <c r="C426" s="116" t="s">
        <v>1363</v>
      </c>
      <c r="D426" s="105">
        <v>2004</v>
      </c>
      <c r="E426" s="84" t="s">
        <v>1364</v>
      </c>
      <c r="F426" s="84" t="s">
        <v>1365</v>
      </c>
      <c r="G426" s="109" t="str">
        <f>HYPERLINK("https://www.lyellcollection.org/toc/sp/229/1")</f>
        <v>https://www.lyellcollection.org/toc/sp/229/1</v>
      </c>
      <c r="H426" s="110" t="s">
        <v>70</v>
      </c>
      <c r="I426" s="27" t="s">
        <v>2912</v>
      </c>
      <c r="J426" s="23" t="s">
        <v>1273</v>
      </c>
      <c r="K426" s="102">
        <v>50</v>
      </c>
      <c r="L426" s="86" t="s">
        <v>1033</v>
      </c>
    </row>
    <row r="427" spans="1:12" s="41" customFormat="1" ht="31.2" customHeight="1" x14ac:dyDescent="0.2">
      <c r="A427" s="111" t="s">
        <v>1366</v>
      </c>
      <c r="B427" s="107" t="s">
        <v>12</v>
      </c>
      <c r="C427" s="116" t="s">
        <v>1367</v>
      </c>
      <c r="D427" s="105">
        <v>2004</v>
      </c>
      <c r="E427" s="84" t="s">
        <v>1368</v>
      </c>
      <c r="F427" s="84" t="s">
        <v>1369</v>
      </c>
      <c r="G427" s="109" t="str">
        <f>HYPERLINK("https://www.lyellcollection.org/toc/sp/228/1")</f>
        <v>https://www.lyellcollection.org/toc/sp/228/1</v>
      </c>
      <c r="H427" s="110" t="s">
        <v>70</v>
      </c>
      <c r="I427" s="27" t="s">
        <v>2912</v>
      </c>
      <c r="J427" s="23" t="s">
        <v>1273</v>
      </c>
      <c r="K427" s="102">
        <v>115</v>
      </c>
      <c r="L427" s="86" t="s">
        <v>1033</v>
      </c>
    </row>
    <row r="428" spans="1:12" s="41" customFormat="1" ht="31.2" customHeight="1" x14ac:dyDescent="0.2">
      <c r="A428" s="111" t="s">
        <v>1370</v>
      </c>
      <c r="B428" s="107" t="s">
        <v>12</v>
      </c>
      <c r="C428" s="116" t="s">
        <v>1371</v>
      </c>
      <c r="D428" s="105">
        <v>2004</v>
      </c>
      <c r="E428" s="84" t="s">
        <v>1372</v>
      </c>
      <c r="F428" s="84" t="s">
        <v>1373</v>
      </c>
      <c r="G428" s="109" t="str">
        <f>HYPERLINK("https://www.lyellcollection.org/toc/sp/227/1")</f>
        <v>https://www.lyellcollection.org/toc/sp/227/1</v>
      </c>
      <c r="H428" s="110" t="s">
        <v>70</v>
      </c>
      <c r="I428" s="27" t="s">
        <v>2912</v>
      </c>
      <c r="J428" s="23" t="s">
        <v>71</v>
      </c>
      <c r="K428" s="102">
        <v>95</v>
      </c>
      <c r="L428" s="86" t="s">
        <v>1033</v>
      </c>
    </row>
    <row r="429" spans="1:12" s="41" customFormat="1" ht="31.2" customHeight="1" x14ac:dyDescent="0.2">
      <c r="A429" s="111" t="s">
        <v>1374</v>
      </c>
      <c r="B429" s="107" t="s">
        <v>12</v>
      </c>
      <c r="C429" s="116" t="s">
        <v>1375</v>
      </c>
      <c r="D429" s="105">
        <v>2004</v>
      </c>
      <c r="E429" s="84" t="s">
        <v>1376</v>
      </c>
      <c r="F429" s="84" t="s">
        <v>1377</v>
      </c>
      <c r="G429" s="109" t="str">
        <f>HYPERLINK("https://www.lyellcollection.org/toc/sp/226/1")</f>
        <v>https://www.lyellcollection.org/toc/sp/226/1</v>
      </c>
      <c r="H429" s="110" t="s">
        <v>70</v>
      </c>
      <c r="I429" s="27" t="s">
        <v>2912</v>
      </c>
      <c r="J429" s="23" t="s">
        <v>1273</v>
      </c>
      <c r="K429" s="102">
        <v>47.5</v>
      </c>
      <c r="L429" s="86" t="s">
        <v>1033</v>
      </c>
    </row>
    <row r="430" spans="1:12" s="41" customFormat="1" ht="31.2" customHeight="1" x14ac:dyDescent="0.2">
      <c r="A430" s="111" t="s">
        <v>1378</v>
      </c>
      <c r="B430" s="107" t="s">
        <v>12</v>
      </c>
      <c r="C430" s="116" t="s">
        <v>1379</v>
      </c>
      <c r="D430" s="105">
        <v>2004</v>
      </c>
      <c r="E430" s="84" t="s">
        <v>1380</v>
      </c>
      <c r="F430" s="84" t="s">
        <v>1381</v>
      </c>
      <c r="G430" s="109" t="str">
        <f>HYPERLINK("https://www.lyellcollection.org/toc/sp/225/1")</f>
        <v>https://www.lyellcollection.org/toc/sp/225/1</v>
      </c>
      <c r="H430" s="110" t="s">
        <v>70</v>
      </c>
      <c r="I430" s="27" t="s">
        <v>2912</v>
      </c>
      <c r="J430" s="23" t="s">
        <v>1273</v>
      </c>
      <c r="K430" s="102">
        <v>105</v>
      </c>
      <c r="L430" s="86" t="s">
        <v>1033</v>
      </c>
    </row>
    <row r="431" spans="1:12" s="41" customFormat="1" ht="31.2" customHeight="1" x14ac:dyDescent="0.2">
      <c r="A431" s="111" t="s">
        <v>1382</v>
      </c>
      <c r="B431" s="107" t="s">
        <v>12</v>
      </c>
      <c r="C431" s="116" t="s">
        <v>1383</v>
      </c>
      <c r="D431" s="105">
        <v>2004</v>
      </c>
      <c r="E431" s="84" t="s">
        <v>1384</v>
      </c>
      <c r="F431" s="84" t="s">
        <v>1385</v>
      </c>
      <c r="G431" s="109" t="str">
        <f>HYPERLINK("https://www.lyellcollection.org/toc/sp/224/1")</f>
        <v>https://www.lyellcollection.org/toc/sp/224/1</v>
      </c>
      <c r="H431" s="110" t="s">
        <v>70</v>
      </c>
      <c r="I431" s="27" t="s">
        <v>2912</v>
      </c>
      <c r="J431" s="23" t="s">
        <v>1273</v>
      </c>
      <c r="K431" s="102">
        <v>105</v>
      </c>
      <c r="L431" s="86" t="s">
        <v>1033</v>
      </c>
    </row>
    <row r="432" spans="1:12" s="41" customFormat="1" ht="31.2" customHeight="1" x14ac:dyDescent="0.2">
      <c r="A432" s="111" t="s">
        <v>1386</v>
      </c>
      <c r="B432" s="107" t="s">
        <v>12</v>
      </c>
      <c r="C432" s="116" t="s">
        <v>1387</v>
      </c>
      <c r="D432" s="105">
        <v>2004</v>
      </c>
      <c r="E432" s="84" t="s">
        <v>1388</v>
      </c>
      <c r="F432" s="84" t="s">
        <v>1389</v>
      </c>
      <c r="G432" s="109" t="str">
        <f>HYPERLINK("https://www.lyellcollection.org/toc/sp/223/1")</f>
        <v>https://www.lyellcollection.org/toc/sp/223/1</v>
      </c>
      <c r="H432" s="110" t="s">
        <v>70</v>
      </c>
      <c r="I432" s="27" t="s">
        <v>2912</v>
      </c>
      <c r="J432" s="23" t="s">
        <v>1273</v>
      </c>
      <c r="K432" s="102">
        <v>57.5</v>
      </c>
      <c r="L432" s="86" t="s">
        <v>1033</v>
      </c>
    </row>
    <row r="433" spans="1:12" s="41" customFormat="1" ht="31.2" customHeight="1" x14ac:dyDescent="0.2">
      <c r="A433" s="111" t="s">
        <v>1390</v>
      </c>
      <c r="B433" s="107" t="s">
        <v>12</v>
      </c>
      <c r="C433" s="116" t="s">
        <v>1391</v>
      </c>
      <c r="D433" s="105">
        <v>2004</v>
      </c>
      <c r="E433" s="84" t="s">
        <v>1392</v>
      </c>
      <c r="F433" s="84" t="s">
        <v>1393</v>
      </c>
      <c r="G433" s="109" t="str">
        <f>HYPERLINK("https://www.lyellcollection.org/toc/sp/222/1")</f>
        <v>https://www.lyellcollection.org/toc/sp/222/1</v>
      </c>
      <c r="H433" s="110" t="s">
        <v>70</v>
      </c>
      <c r="I433" s="27" t="s">
        <v>2912</v>
      </c>
      <c r="J433" s="23" t="s">
        <v>1273</v>
      </c>
      <c r="K433" s="102">
        <v>100</v>
      </c>
      <c r="L433" s="86" t="s">
        <v>1033</v>
      </c>
    </row>
    <row r="434" spans="1:12" s="41" customFormat="1" ht="31.2" customHeight="1" x14ac:dyDescent="0.2">
      <c r="A434" s="111" t="s">
        <v>1394</v>
      </c>
      <c r="B434" s="107" t="s">
        <v>12</v>
      </c>
      <c r="C434" s="116" t="s">
        <v>1395</v>
      </c>
      <c r="D434" s="105">
        <v>2004</v>
      </c>
      <c r="E434" s="84" t="s">
        <v>1396</v>
      </c>
      <c r="F434" s="84" t="s">
        <v>1397</v>
      </c>
      <c r="G434" s="109" t="str">
        <f>HYPERLINK("https://www.lyellcollection.org/toc/sp/221/1")</f>
        <v>https://www.lyellcollection.org/toc/sp/221/1</v>
      </c>
      <c r="H434" s="110" t="s">
        <v>70</v>
      </c>
      <c r="I434" s="27" t="s">
        <v>2912</v>
      </c>
      <c r="J434" s="23" t="s">
        <v>1273</v>
      </c>
      <c r="K434" s="102">
        <v>125</v>
      </c>
      <c r="L434" s="86" t="s">
        <v>1033</v>
      </c>
    </row>
    <row r="435" spans="1:12" s="41" customFormat="1" ht="31.2" customHeight="1" x14ac:dyDescent="0.2">
      <c r="A435" s="111" t="s">
        <v>1314</v>
      </c>
      <c r="B435" s="116" t="s">
        <v>690</v>
      </c>
      <c r="C435" s="106" t="s">
        <v>1315</v>
      </c>
      <c r="D435" s="105">
        <v>2004</v>
      </c>
      <c r="E435" s="105" t="s">
        <v>1316</v>
      </c>
      <c r="F435" s="105" t="s">
        <v>1317</v>
      </c>
      <c r="G435" s="112" t="s">
        <v>79</v>
      </c>
      <c r="H435" s="191"/>
      <c r="I435" s="192"/>
      <c r="J435" s="23" t="s">
        <v>71</v>
      </c>
      <c r="K435" s="102">
        <v>125</v>
      </c>
      <c r="L435" s="53"/>
    </row>
    <row r="436" spans="1:12" s="41" customFormat="1" ht="31.2" customHeight="1" x14ac:dyDescent="0.2">
      <c r="A436" s="111" t="s">
        <v>1398</v>
      </c>
      <c r="B436" s="113" t="s">
        <v>39</v>
      </c>
      <c r="C436" s="116" t="s">
        <v>1399</v>
      </c>
      <c r="D436" s="105">
        <v>2004</v>
      </c>
      <c r="E436" s="84" t="s">
        <v>1400</v>
      </c>
      <c r="F436" s="84" t="s">
        <v>1401</v>
      </c>
      <c r="G436" s="109" t="str">
        <f>HYPERLINK("https://www.lyellcollection.org/toc/mem/30/1")</f>
        <v>https://www.lyellcollection.org/toc/mem/30/1</v>
      </c>
      <c r="H436" s="110" t="s">
        <v>70</v>
      </c>
      <c r="I436" s="27" t="s">
        <v>2912</v>
      </c>
      <c r="J436" s="23" t="s">
        <v>71</v>
      </c>
      <c r="K436" s="102">
        <v>90</v>
      </c>
      <c r="L436" s="53"/>
    </row>
    <row r="437" spans="1:12" s="41" customFormat="1" ht="31.2" customHeight="1" x14ac:dyDescent="0.2">
      <c r="A437" s="121" t="s">
        <v>1402</v>
      </c>
      <c r="B437" s="113" t="s">
        <v>39</v>
      </c>
      <c r="C437" s="116" t="s">
        <v>1403</v>
      </c>
      <c r="D437" s="105">
        <v>2004</v>
      </c>
      <c r="E437" s="84" t="s">
        <v>1404</v>
      </c>
      <c r="F437" s="84" t="s">
        <v>1405</v>
      </c>
      <c r="G437" s="109" t="str">
        <f>HYPERLINK("https://www.lyellcollection.org/toc/mem/29/1")</f>
        <v>https://www.lyellcollection.org/toc/mem/29/1</v>
      </c>
      <c r="H437" s="110" t="s">
        <v>70</v>
      </c>
      <c r="I437" s="27" t="s">
        <v>2912</v>
      </c>
      <c r="J437" s="23" t="s">
        <v>1077</v>
      </c>
      <c r="K437" s="102" t="e">
        <v>#N/A</v>
      </c>
      <c r="L437" s="53"/>
    </row>
    <row r="438" spans="1:12" s="41" customFormat="1" ht="31.2" customHeight="1" x14ac:dyDescent="0.2">
      <c r="A438" s="111" t="s">
        <v>1406</v>
      </c>
      <c r="B438" s="106" t="s">
        <v>1407</v>
      </c>
      <c r="C438" s="106" t="s">
        <v>1408</v>
      </c>
      <c r="D438" s="105">
        <v>2003</v>
      </c>
      <c r="E438" s="105" t="s">
        <v>1409</v>
      </c>
      <c r="F438" s="105" t="s">
        <v>1410</v>
      </c>
      <c r="G438" s="112" t="s">
        <v>79</v>
      </c>
      <c r="H438" s="191"/>
      <c r="I438" s="192"/>
      <c r="J438" s="23" t="s">
        <v>1077</v>
      </c>
      <c r="K438" s="102" t="e">
        <v>#N/A</v>
      </c>
      <c r="L438" s="53"/>
    </row>
    <row r="439" spans="1:12" s="41" customFormat="1" ht="31.2" customHeight="1" x14ac:dyDescent="0.2">
      <c r="A439" s="111" t="s">
        <v>1415</v>
      </c>
      <c r="B439" s="107" t="s">
        <v>12</v>
      </c>
      <c r="C439" s="116" t="s">
        <v>1416</v>
      </c>
      <c r="D439" s="105">
        <v>2003</v>
      </c>
      <c r="E439" s="84" t="s">
        <v>1417</v>
      </c>
      <c r="F439" s="84" t="s">
        <v>1418</v>
      </c>
      <c r="G439" s="109" t="str">
        <f>HYPERLINK("https://www.lyellcollection.org/toc/sp/220/1")</f>
        <v>https://www.lyellcollection.org/toc/sp/220/1</v>
      </c>
      <c r="H439" s="110" t="s">
        <v>70</v>
      </c>
      <c r="I439" s="27" t="s">
        <v>2912</v>
      </c>
      <c r="J439" s="23" t="s">
        <v>71</v>
      </c>
      <c r="K439" s="102">
        <v>85</v>
      </c>
      <c r="L439" s="86" t="s">
        <v>1033</v>
      </c>
    </row>
    <row r="440" spans="1:12" s="41" customFormat="1" ht="31.2" customHeight="1" x14ac:dyDescent="0.2">
      <c r="A440" s="111" t="s">
        <v>1419</v>
      </c>
      <c r="B440" s="107" t="s">
        <v>12</v>
      </c>
      <c r="C440" s="116" t="s">
        <v>1420</v>
      </c>
      <c r="D440" s="105">
        <v>2003</v>
      </c>
      <c r="E440" s="84" t="s">
        <v>1421</v>
      </c>
      <c r="F440" s="84" t="s">
        <v>1422</v>
      </c>
      <c r="G440" s="109" t="str">
        <f>HYPERLINK("https://www.lyellcollection.org/toc/sp/219/1")</f>
        <v>https://www.lyellcollection.org/toc/sp/219/1</v>
      </c>
      <c r="H440" s="110" t="s">
        <v>70</v>
      </c>
      <c r="I440" s="27" t="s">
        <v>2912</v>
      </c>
      <c r="J440" s="23" t="s">
        <v>1273</v>
      </c>
      <c r="K440" s="102">
        <v>95</v>
      </c>
      <c r="L440" s="86" t="s">
        <v>1033</v>
      </c>
    </row>
    <row r="441" spans="1:12" s="41" customFormat="1" ht="31.2" customHeight="1" x14ac:dyDescent="0.2">
      <c r="A441" s="111" t="s">
        <v>1423</v>
      </c>
      <c r="B441" s="107" t="s">
        <v>12</v>
      </c>
      <c r="C441" s="116" t="s">
        <v>1424</v>
      </c>
      <c r="D441" s="105">
        <v>2003</v>
      </c>
      <c r="E441" s="84" t="s">
        <v>1425</v>
      </c>
      <c r="F441" s="84" t="s">
        <v>1426</v>
      </c>
      <c r="G441" s="109" t="str">
        <f>HYPERLINK("https://www.lyellcollection.org/toc/sp/218/1")</f>
        <v>https://www.lyellcollection.org/toc/sp/218/1</v>
      </c>
      <c r="H441" s="110" t="s">
        <v>70</v>
      </c>
      <c r="I441" s="27" t="s">
        <v>2912</v>
      </c>
      <c r="J441" s="23" t="s">
        <v>1273</v>
      </c>
      <c r="K441" s="102">
        <v>115</v>
      </c>
      <c r="L441" s="86" t="s">
        <v>1033</v>
      </c>
    </row>
    <row r="442" spans="1:12" s="41" customFormat="1" ht="31.2" customHeight="1" x14ac:dyDescent="0.2">
      <c r="A442" s="111" t="s">
        <v>1427</v>
      </c>
      <c r="B442" s="107" t="s">
        <v>12</v>
      </c>
      <c r="C442" s="116" t="s">
        <v>1428</v>
      </c>
      <c r="D442" s="105">
        <v>2003</v>
      </c>
      <c r="E442" s="84" t="s">
        <v>1429</v>
      </c>
      <c r="F442" s="84" t="s">
        <v>1430</v>
      </c>
      <c r="G442" s="109" t="str">
        <f>HYPERLINK("https://www.lyellcollection.org/toc/sp/217/1")</f>
        <v>https://www.lyellcollection.org/toc/sp/217/1</v>
      </c>
      <c r="H442" s="110" t="s">
        <v>70</v>
      </c>
      <c r="I442" s="27" t="s">
        <v>2912</v>
      </c>
      <c r="J442" s="23" t="s">
        <v>1273</v>
      </c>
      <c r="K442" s="102">
        <v>47.5</v>
      </c>
      <c r="L442" s="86" t="s">
        <v>1033</v>
      </c>
    </row>
    <row r="443" spans="1:12" s="41" customFormat="1" ht="31.2" customHeight="1" x14ac:dyDescent="0.2">
      <c r="A443" s="111" t="s">
        <v>1431</v>
      </c>
      <c r="B443" s="107" t="s">
        <v>12</v>
      </c>
      <c r="C443" s="116" t="s">
        <v>1432</v>
      </c>
      <c r="D443" s="105">
        <v>2003</v>
      </c>
      <c r="E443" s="84" t="s">
        <v>1433</v>
      </c>
      <c r="F443" s="84" t="s">
        <v>1434</v>
      </c>
      <c r="G443" s="109" t="str">
        <f>HYPERLINK("https://www.lyellcollection.org/toc/sp/216/1")</f>
        <v>https://www.lyellcollection.org/toc/sp/216/1</v>
      </c>
      <c r="H443" s="110" t="s">
        <v>70</v>
      </c>
      <c r="I443" s="27" t="s">
        <v>2912</v>
      </c>
      <c r="J443" s="23" t="s">
        <v>1273</v>
      </c>
      <c r="K443" s="102">
        <v>105</v>
      </c>
      <c r="L443" s="86" t="s">
        <v>1033</v>
      </c>
    </row>
    <row r="444" spans="1:12" s="41" customFormat="1" ht="31.2" customHeight="1" x14ac:dyDescent="0.2">
      <c r="A444" s="111" t="s">
        <v>1435</v>
      </c>
      <c r="B444" s="107" t="s">
        <v>12</v>
      </c>
      <c r="C444" s="116" t="s">
        <v>1436</v>
      </c>
      <c r="D444" s="105">
        <v>2003</v>
      </c>
      <c r="E444" s="84" t="s">
        <v>1437</v>
      </c>
      <c r="F444" s="84" t="s">
        <v>1438</v>
      </c>
      <c r="G444" s="109" t="str">
        <f>HYPERLINK("https://www.lyellcollection.org/toc/sp/215/1")</f>
        <v>https://www.lyellcollection.org/toc/sp/215/1</v>
      </c>
      <c r="H444" s="110" t="s">
        <v>70</v>
      </c>
      <c r="I444" s="27" t="s">
        <v>2912</v>
      </c>
      <c r="J444" s="23" t="s">
        <v>1273</v>
      </c>
      <c r="K444" s="102">
        <v>42.5</v>
      </c>
      <c r="L444" s="86" t="s">
        <v>1033</v>
      </c>
    </row>
    <row r="445" spans="1:12" s="41" customFormat="1" ht="31.2" customHeight="1" x14ac:dyDescent="0.2">
      <c r="A445" s="111" t="s">
        <v>1439</v>
      </c>
      <c r="B445" s="107" t="s">
        <v>12</v>
      </c>
      <c r="C445" s="116" t="s">
        <v>1440</v>
      </c>
      <c r="D445" s="105">
        <v>2003</v>
      </c>
      <c r="E445" s="84" t="s">
        <v>1441</v>
      </c>
      <c r="F445" s="84" t="s">
        <v>1442</v>
      </c>
      <c r="G445" s="109" t="str">
        <f>HYPERLINK("https://www.lyellcollection.org/toc/sp/214/1")</f>
        <v>https://www.lyellcollection.org/toc/sp/214/1</v>
      </c>
      <c r="H445" s="110" t="s">
        <v>70</v>
      </c>
      <c r="I445" s="27" t="s">
        <v>2912</v>
      </c>
      <c r="J445" s="23" t="s">
        <v>1273</v>
      </c>
      <c r="K445" s="102">
        <v>42.5</v>
      </c>
      <c r="L445" s="86" t="s">
        <v>1033</v>
      </c>
    </row>
    <row r="446" spans="1:12" s="41" customFormat="1" ht="31.2" customHeight="1" x14ac:dyDescent="0.2">
      <c r="A446" s="111" t="s">
        <v>1443</v>
      </c>
      <c r="B446" s="107" t="s">
        <v>12</v>
      </c>
      <c r="C446" s="116" t="s">
        <v>1444</v>
      </c>
      <c r="D446" s="105">
        <v>2003</v>
      </c>
      <c r="E446" s="84" t="s">
        <v>1445</v>
      </c>
      <c r="F446" s="84" t="s">
        <v>1446</v>
      </c>
      <c r="G446" s="109" t="str">
        <f>HYPERLINK("https://www.lyellcollection.org/toc/sp/213/1")</f>
        <v>https://www.lyellcollection.org/toc/sp/213/1</v>
      </c>
      <c r="H446" s="110" t="s">
        <v>70</v>
      </c>
      <c r="I446" s="27" t="s">
        <v>2912</v>
      </c>
      <c r="J446" s="23" t="s">
        <v>71</v>
      </c>
      <c r="K446" s="102">
        <v>110</v>
      </c>
      <c r="L446" s="86" t="s">
        <v>1033</v>
      </c>
    </row>
    <row r="447" spans="1:12" s="41" customFormat="1" ht="31.2" customHeight="1" x14ac:dyDescent="0.2">
      <c r="A447" s="111" t="s">
        <v>1447</v>
      </c>
      <c r="B447" s="107" t="s">
        <v>12</v>
      </c>
      <c r="C447" s="116" t="s">
        <v>1448</v>
      </c>
      <c r="D447" s="105">
        <v>2003</v>
      </c>
      <c r="E447" s="84" t="s">
        <v>1449</v>
      </c>
      <c r="F447" s="84" t="s">
        <v>1450</v>
      </c>
      <c r="G447" s="109" t="str">
        <f>HYPERLINK("https://www.lyellcollection.org/toc/sp/212/1")</f>
        <v>https://www.lyellcollection.org/toc/sp/212/1</v>
      </c>
      <c r="H447" s="110" t="s">
        <v>70</v>
      </c>
      <c r="I447" s="27" t="s">
        <v>2912</v>
      </c>
      <c r="J447" s="23" t="s">
        <v>1273</v>
      </c>
      <c r="K447" s="102">
        <v>90</v>
      </c>
      <c r="L447" s="86" t="s">
        <v>1033</v>
      </c>
    </row>
    <row r="448" spans="1:12" s="41" customFormat="1" ht="31.2" customHeight="1" x14ac:dyDescent="0.2">
      <c r="A448" s="111" t="s">
        <v>1451</v>
      </c>
      <c r="B448" s="107" t="s">
        <v>12</v>
      </c>
      <c r="C448" s="116" t="s">
        <v>1452</v>
      </c>
      <c r="D448" s="105">
        <v>2003</v>
      </c>
      <c r="E448" s="84" t="s">
        <v>1453</v>
      </c>
      <c r="F448" s="84" t="s">
        <v>1454</v>
      </c>
      <c r="G448" s="109" t="str">
        <f>HYPERLINK("https://www.lyellcollection.org/toc/sp/211/1")</f>
        <v>https://www.lyellcollection.org/toc/sp/211/1</v>
      </c>
      <c r="H448" s="110" t="s">
        <v>70</v>
      </c>
      <c r="I448" s="27" t="s">
        <v>2912</v>
      </c>
      <c r="J448" s="23" t="s">
        <v>1273</v>
      </c>
      <c r="K448" s="102">
        <v>90</v>
      </c>
      <c r="L448" s="86" t="s">
        <v>1033</v>
      </c>
    </row>
    <row r="449" spans="1:12" s="41" customFormat="1" ht="31.2" customHeight="1" x14ac:dyDescent="0.2">
      <c r="A449" s="111" t="s">
        <v>1455</v>
      </c>
      <c r="B449" s="107" t="s">
        <v>12</v>
      </c>
      <c r="C449" s="116" t="s">
        <v>1456</v>
      </c>
      <c r="D449" s="105">
        <v>2003</v>
      </c>
      <c r="E449" s="84" t="s">
        <v>1457</v>
      </c>
      <c r="F449" s="84" t="s">
        <v>1458</v>
      </c>
      <c r="G449" s="109" t="str">
        <f>HYPERLINK("https://www.lyellcollection.org/toc/sp/210/1")</f>
        <v>https://www.lyellcollection.org/toc/sp/210/1</v>
      </c>
      <c r="H449" s="110" t="s">
        <v>70</v>
      </c>
      <c r="I449" s="27" t="s">
        <v>2912</v>
      </c>
      <c r="J449" s="23" t="s">
        <v>1273</v>
      </c>
      <c r="K449" s="102">
        <v>85</v>
      </c>
      <c r="L449" s="86" t="s">
        <v>1033</v>
      </c>
    </row>
    <row r="450" spans="1:12" s="41" customFormat="1" ht="31.2" customHeight="1" x14ac:dyDescent="0.2">
      <c r="A450" s="111" t="s">
        <v>1459</v>
      </c>
      <c r="B450" s="107" t="s">
        <v>12</v>
      </c>
      <c r="C450" s="116" t="s">
        <v>1460</v>
      </c>
      <c r="D450" s="105">
        <v>2003</v>
      </c>
      <c r="E450" s="84" t="s">
        <v>1461</v>
      </c>
      <c r="F450" s="84" t="s">
        <v>1462</v>
      </c>
      <c r="G450" s="109" t="str">
        <f>HYPERLINK("https://www.lyellcollection.org/toc/sp/209/1")</f>
        <v>https://www.lyellcollection.org/toc/sp/209/1</v>
      </c>
      <c r="H450" s="110" t="s">
        <v>70</v>
      </c>
      <c r="I450" s="27" t="s">
        <v>2912</v>
      </c>
      <c r="J450" s="23" t="s">
        <v>1273</v>
      </c>
      <c r="K450" s="102">
        <v>85</v>
      </c>
      <c r="L450" s="86" t="s">
        <v>1033</v>
      </c>
    </row>
    <row r="451" spans="1:12" s="41" customFormat="1" ht="31.2" customHeight="1" x14ac:dyDescent="0.2">
      <c r="A451" s="111" t="s">
        <v>1463</v>
      </c>
      <c r="B451" s="107" t="s">
        <v>12</v>
      </c>
      <c r="C451" s="116" t="s">
        <v>1464</v>
      </c>
      <c r="D451" s="105">
        <v>2003</v>
      </c>
      <c r="E451" s="84" t="s">
        <v>1465</v>
      </c>
      <c r="F451" s="84" t="s">
        <v>1466</v>
      </c>
      <c r="G451" s="109" t="str">
        <f>HYPERLINK("https://www.lyellcollection.org/toc/sp/208/1")</f>
        <v>https://www.lyellcollection.org/toc/sp/208/1</v>
      </c>
      <c r="H451" s="110" t="s">
        <v>70</v>
      </c>
      <c r="I451" s="27" t="s">
        <v>2912</v>
      </c>
      <c r="J451" s="23" t="s">
        <v>1273</v>
      </c>
      <c r="K451" s="102">
        <v>47.5</v>
      </c>
      <c r="L451" s="86" t="s">
        <v>1033</v>
      </c>
    </row>
    <row r="452" spans="1:12" s="41" customFormat="1" ht="31.2" customHeight="1" x14ac:dyDescent="0.2">
      <c r="A452" s="111" t="s">
        <v>1467</v>
      </c>
      <c r="B452" s="107" t="s">
        <v>12</v>
      </c>
      <c r="C452" s="116" t="s">
        <v>1468</v>
      </c>
      <c r="D452" s="105">
        <v>2003</v>
      </c>
      <c r="E452" s="84" t="s">
        <v>1469</v>
      </c>
      <c r="F452" s="84" t="s">
        <v>1470</v>
      </c>
      <c r="G452" s="109" t="str">
        <f>HYPERLINK("https://www.lyellcollection.org/toc/sp/207/1")</f>
        <v>https://www.lyellcollection.org/toc/sp/207/1</v>
      </c>
      <c r="H452" s="110" t="s">
        <v>70</v>
      </c>
      <c r="I452" s="27" t="s">
        <v>2912</v>
      </c>
      <c r="J452" s="23" t="s">
        <v>1077</v>
      </c>
      <c r="K452" s="102" t="e">
        <v>#N/A</v>
      </c>
      <c r="L452" s="86" t="s">
        <v>1033</v>
      </c>
    </row>
    <row r="453" spans="1:12" s="41" customFormat="1" ht="31.2" customHeight="1" x14ac:dyDescent="0.2">
      <c r="A453" s="111" t="s">
        <v>1471</v>
      </c>
      <c r="B453" s="107" t="s">
        <v>12</v>
      </c>
      <c r="C453" s="116" t="s">
        <v>1472</v>
      </c>
      <c r="D453" s="105">
        <v>2003</v>
      </c>
      <c r="E453" s="84" t="s">
        <v>1473</v>
      </c>
      <c r="F453" s="84" t="s">
        <v>1474</v>
      </c>
      <c r="G453" s="109" t="str">
        <f>HYPERLINK("https://www.lyellcollection.org/toc/sp/206/1")</f>
        <v>https://www.lyellcollection.org/toc/sp/206/1</v>
      </c>
      <c r="H453" s="110" t="s">
        <v>70</v>
      </c>
      <c r="I453" s="27" t="s">
        <v>2912</v>
      </c>
      <c r="J453" s="23" t="s">
        <v>1273</v>
      </c>
      <c r="K453" s="102">
        <v>120</v>
      </c>
      <c r="L453" s="86" t="s">
        <v>1033</v>
      </c>
    </row>
    <row r="454" spans="1:12" s="41" customFormat="1" ht="31.2" customHeight="1" x14ac:dyDescent="0.2">
      <c r="A454" s="111" t="s">
        <v>1411</v>
      </c>
      <c r="B454" s="116" t="s">
        <v>690</v>
      </c>
      <c r="C454" s="106" t="s">
        <v>1412</v>
      </c>
      <c r="D454" s="105">
        <v>2003</v>
      </c>
      <c r="E454" s="105" t="s">
        <v>1413</v>
      </c>
      <c r="F454" s="105" t="s">
        <v>1414</v>
      </c>
      <c r="G454" s="112" t="s">
        <v>79</v>
      </c>
      <c r="H454" s="191"/>
      <c r="I454" s="192"/>
      <c r="J454" s="23" t="s">
        <v>71</v>
      </c>
      <c r="K454" s="102">
        <v>125</v>
      </c>
      <c r="L454" s="53"/>
    </row>
    <row r="455" spans="1:12" s="41" customFormat="1" ht="31.2" customHeight="1" x14ac:dyDescent="0.2">
      <c r="A455" s="111" t="s">
        <v>1475</v>
      </c>
      <c r="B455" s="113" t="s">
        <v>39</v>
      </c>
      <c r="C455" s="116" t="s">
        <v>1476</v>
      </c>
      <c r="D455" s="105">
        <v>2003</v>
      </c>
      <c r="E455" s="84" t="s">
        <v>1477</v>
      </c>
      <c r="F455" s="84" t="s">
        <v>1478</v>
      </c>
      <c r="G455" s="109" t="str">
        <f>HYPERLINK("https://www.lyellcollection.org/toc/mem/28/1")</f>
        <v>https://www.lyellcollection.org/toc/mem/28/1</v>
      </c>
      <c r="H455" s="110" t="s">
        <v>70</v>
      </c>
      <c r="I455" s="27" t="s">
        <v>2912</v>
      </c>
      <c r="J455" s="23" t="s">
        <v>1077</v>
      </c>
      <c r="K455" s="102" t="e">
        <v>#N/A</v>
      </c>
      <c r="L455" s="53"/>
    </row>
    <row r="456" spans="1:12" s="41" customFormat="1" ht="31.2" customHeight="1" x14ac:dyDescent="0.2">
      <c r="A456" s="121" t="s">
        <v>1479</v>
      </c>
      <c r="B456" s="113" t="s">
        <v>39</v>
      </c>
      <c r="C456" s="116" t="s">
        <v>1480</v>
      </c>
      <c r="D456" s="105">
        <v>2003</v>
      </c>
      <c r="E456" s="84" t="s">
        <v>1481</v>
      </c>
      <c r="F456" s="84" t="s">
        <v>1482</v>
      </c>
      <c r="G456" s="109" t="str">
        <f>HYPERLINK("https://www.lyellcollection.org/toc/mem/27/1")</f>
        <v>https://www.lyellcollection.org/toc/mem/27/1</v>
      </c>
      <c r="H456" s="110" t="s">
        <v>70</v>
      </c>
      <c r="I456" s="27" t="s">
        <v>2912</v>
      </c>
      <c r="J456" s="23" t="s">
        <v>1077</v>
      </c>
      <c r="K456" s="102" t="e">
        <v>#N/A</v>
      </c>
      <c r="L456" s="53"/>
    </row>
    <row r="457" spans="1:12" s="41" customFormat="1" ht="31.2" customHeight="1" x14ac:dyDescent="0.2">
      <c r="A457" s="111" t="s">
        <v>1483</v>
      </c>
      <c r="B457" s="113" t="s">
        <v>39</v>
      </c>
      <c r="C457" s="116" t="s">
        <v>1484</v>
      </c>
      <c r="D457" s="105">
        <v>2003</v>
      </c>
      <c r="E457" s="84" t="s">
        <v>1485</v>
      </c>
      <c r="F457" s="84" t="s">
        <v>1486</v>
      </c>
      <c r="G457" s="109" t="str">
        <f>HYPERLINK("https://www.lyellcollection.org/toc/mem/22/1")</f>
        <v>https://www.lyellcollection.org/toc/mem/22/1</v>
      </c>
      <c r="H457" s="110" t="s">
        <v>70</v>
      </c>
      <c r="I457" s="27" t="s">
        <v>2912</v>
      </c>
      <c r="J457" s="23" t="s">
        <v>71</v>
      </c>
      <c r="K457" s="102">
        <v>130</v>
      </c>
      <c r="L457" s="53"/>
    </row>
    <row r="458" spans="1:12" s="41" customFormat="1" ht="31.2" customHeight="1" x14ac:dyDescent="0.2">
      <c r="A458" s="121" t="s">
        <v>1487</v>
      </c>
      <c r="B458" s="113" t="s">
        <v>39</v>
      </c>
      <c r="C458" s="116" t="s">
        <v>2953</v>
      </c>
      <c r="D458" s="105">
        <v>2003</v>
      </c>
      <c r="E458" s="84" t="s">
        <v>1488</v>
      </c>
      <c r="F458" s="84" t="s">
        <v>1489</v>
      </c>
      <c r="G458" s="109" t="str">
        <f>HYPERLINK("https://www.lyellcollection.org/toc/mem/20/1")</f>
        <v>https://www.lyellcollection.org/toc/mem/20/1</v>
      </c>
      <c r="H458" s="110" t="s">
        <v>70</v>
      </c>
      <c r="I458" s="27" t="s">
        <v>2912</v>
      </c>
      <c r="J458" s="23" t="s">
        <v>1077</v>
      </c>
      <c r="K458" s="102" t="e">
        <v>#N/A</v>
      </c>
      <c r="L458" s="53"/>
    </row>
    <row r="459" spans="1:12" s="41" customFormat="1" ht="31.2" customHeight="1" x14ac:dyDescent="0.2">
      <c r="A459" s="111" t="s">
        <v>1532</v>
      </c>
      <c r="B459" s="107" t="s">
        <v>43</v>
      </c>
      <c r="C459" s="116" t="s">
        <v>1533</v>
      </c>
      <c r="D459" s="105">
        <v>2002</v>
      </c>
      <c r="E459" s="84" t="s">
        <v>1534</v>
      </c>
      <c r="F459" s="84" t="s">
        <v>1535</v>
      </c>
      <c r="G459" s="109" t="str">
        <f>HYPERLINK("https://www.lyellcollection.org/toc/egsp/19/1")</f>
        <v>https://www.lyellcollection.org/toc/egsp/19/1</v>
      </c>
      <c r="H459" s="110" t="s">
        <v>70</v>
      </c>
      <c r="I459" s="27" t="s">
        <v>2912</v>
      </c>
      <c r="J459" s="23" t="s">
        <v>71</v>
      </c>
      <c r="K459" s="102">
        <v>80</v>
      </c>
      <c r="L459" s="53"/>
    </row>
    <row r="460" spans="1:12" s="41" customFormat="1" ht="31.2" customHeight="1" x14ac:dyDescent="0.2">
      <c r="A460" s="111" t="s">
        <v>1536</v>
      </c>
      <c r="B460" s="107" t="s">
        <v>12</v>
      </c>
      <c r="C460" s="116" t="s">
        <v>1537</v>
      </c>
      <c r="D460" s="105">
        <v>2002</v>
      </c>
      <c r="E460" s="84" t="s">
        <v>1538</v>
      </c>
      <c r="F460" s="84" t="s">
        <v>1539</v>
      </c>
      <c r="G460" s="109" t="str">
        <f>HYPERLINK("https://www.lyellcollection.org/toc/sp/205/1")</f>
        <v>https://www.lyellcollection.org/toc/sp/205/1</v>
      </c>
      <c r="H460" s="110" t="s">
        <v>70</v>
      </c>
      <c r="I460" s="27" t="s">
        <v>2912</v>
      </c>
      <c r="J460" s="23" t="s">
        <v>71</v>
      </c>
      <c r="K460" s="102">
        <v>130</v>
      </c>
      <c r="L460" s="86" t="s">
        <v>1033</v>
      </c>
    </row>
    <row r="461" spans="1:12" s="41" customFormat="1" ht="31.2" customHeight="1" x14ac:dyDescent="0.2">
      <c r="A461" s="111" t="s">
        <v>1540</v>
      </c>
      <c r="B461" s="107" t="s">
        <v>12</v>
      </c>
      <c r="C461" s="116" t="s">
        <v>1541</v>
      </c>
      <c r="D461" s="105">
        <v>2002</v>
      </c>
      <c r="E461" s="84" t="s">
        <v>1542</v>
      </c>
      <c r="F461" s="84" t="s">
        <v>1543</v>
      </c>
      <c r="G461" s="109" t="str">
        <f>HYPERLINK("https://www.lyellcollection.org/toc/sp/204/1")</f>
        <v>https://www.lyellcollection.org/toc/sp/204/1</v>
      </c>
      <c r="H461" s="110" t="s">
        <v>70</v>
      </c>
      <c r="I461" s="27" t="s">
        <v>2912</v>
      </c>
      <c r="J461" s="23" t="s">
        <v>1273</v>
      </c>
      <c r="K461" s="102">
        <v>95</v>
      </c>
      <c r="L461" s="86" t="s">
        <v>1033</v>
      </c>
    </row>
    <row r="462" spans="1:12" s="41" customFormat="1" ht="31.2" customHeight="1" x14ac:dyDescent="0.2">
      <c r="A462" s="111" t="s">
        <v>1544</v>
      </c>
      <c r="B462" s="107" t="s">
        <v>12</v>
      </c>
      <c r="C462" s="116" t="s">
        <v>1545</v>
      </c>
      <c r="D462" s="105">
        <v>2002</v>
      </c>
      <c r="E462" s="84" t="s">
        <v>1546</v>
      </c>
      <c r="F462" s="84" t="s">
        <v>1547</v>
      </c>
      <c r="G462" s="109" t="str">
        <f>HYPERLINK("https://www.lyellcollection.org/toc/sp/203/1")</f>
        <v>https://www.lyellcollection.org/toc/sp/203/1</v>
      </c>
      <c r="H462" s="110" t="s">
        <v>70</v>
      </c>
      <c r="I462" s="27" t="s">
        <v>2912</v>
      </c>
      <c r="J462" s="23" t="s">
        <v>1273</v>
      </c>
      <c r="K462" s="102">
        <v>47.5</v>
      </c>
      <c r="L462" s="86" t="s">
        <v>1033</v>
      </c>
    </row>
    <row r="463" spans="1:12" s="41" customFormat="1" ht="31.2" customHeight="1" x14ac:dyDescent="0.2">
      <c r="A463" s="111" t="s">
        <v>1548</v>
      </c>
      <c r="B463" s="107" t="s">
        <v>12</v>
      </c>
      <c r="C463" s="116" t="s">
        <v>1549</v>
      </c>
      <c r="D463" s="105">
        <v>2002</v>
      </c>
      <c r="E463" s="84" t="s">
        <v>1550</v>
      </c>
      <c r="F463" s="84" t="s">
        <v>1551</v>
      </c>
      <c r="G463" s="109" t="str">
        <f>HYPERLINK("https://www.lyellcollection.org/toc/sp/202/1")</f>
        <v>https://www.lyellcollection.org/toc/sp/202/1</v>
      </c>
      <c r="H463" s="110" t="s">
        <v>70</v>
      </c>
      <c r="I463" s="27" t="s">
        <v>2912</v>
      </c>
      <c r="J463" s="23" t="s">
        <v>1273</v>
      </c>
      <c r="K463" s="102">
        <v>95</v>
      </c>
      <c r="L463" s="86" t="s">
        <v>1033</v>
      </c>
    </row>
    <row r="464" spans="1:12" s="41" customFormat="1" ht="31.2" customHeight="1" x14ac:dyDescent="0.2">
      <c r="A464" s="111" t="s">
        <v>1552</v>
      </c>
      <c r="B464" s="107" t="s">
        <v>12</v>
      </c>
      <c r="C464" s="116" t="s">
        <v>1553</v>
      </c>
      <c r="D464" s="105">
        <v>2002</v>
      </c>
      <c r="E464" s="84" t="s">
        <v>1554</v>
      </c>
      <c r="F464" s="84" t="s">
        <v>1555</v>
      </c>
      <c r="G464" s="109" t="str">
        <f>HYPERLINK("https://www.lyellcollection.org/toc/sp/201/1")</f>
        <v>https://www.lyellcollection.org/toc/sp/201/1</v>
      </c>
      <c r="H464" s="110" t="s">
        <v>70</v>
      </c>
      <c r="I464" s="27" t="s">
        <v>2912</v>
      </c>
      <c r="J464" s="23" t="s">
        <v>1273</v>
      </c>
      <c r="K464" s="102">
        <v>90</v>
      </c>
      <c r="L464" s="86" t="s">
        <v>1033</v>
      </c>
    </row>
    <row r="465" spans="1:29" s="41" customFormat="1" ht="31.2" customHeight="1" x14ac:dyDescent="0.2">
      <c r="A465" s="111" t="s">
        <v>1556</v>
      </c>
      <c r="B465" s="107" t="s">
        <v>12</v>
      </c>
      <c r="C465" s="116" t="s">
        <v>1557</v>
      </c>
      <c r="D465" s="105">
        <v>2002</v>
      </c>
      <c r="E465" s="84" t="s">
        <v>1558</v>
      </c>
      <c r="F465" s="84" t="s">
        <v>1559</v>
      </c>
      <c r="G465" s="109" t="str">
        <f>HYPERLINK("https://www.lyellcollection.org/toc/sp/200/1")</f>
        <v>https://www.lyellcollection.org/toc/sp/200/1</v>
      </c>
      <c r="H465" s="110" t="s">
        <v>70</v>
      </c>
      <c r="I465" s="27" t="s">
        <v>2912</v>
      </c>
      <c r="J465" s="23" t="s">
        <v>71</v>
      </c>
      <c r="K465" s="102">
        <v>110</v>
      </c>
      <c r="L465" s="86" t="s">
        <v>1560</v>
      </c>
    </row>
    <row r="466" spans="1:29" s="41" customFormat="1" ht="31.2" customHeight="1" x14ac:dyDescent="0.2">
      <c r="A466" s="111" t="s">
        <v>1561</v>
      </c>
      <c r="B466" s="107" t="s">
        <v>12</v>
      </c>
      <c r="C466" s="116" t="s">
        <v>1562</v>
      </c>
      <c r="D466" s="105">
        <v>2002</v>
      </c>
      <c r="E466" s="84" t="s">
        <v>1563</v>
      </c>
      <c r="F466" s="84" t="s">
        <v>1564</v>
      </c>
      <c r="G466" s="109" t="str">
        <f>HYPERLINK("https://www.lyellcollection.org/toc/sp/199/1")</f>
        <v>https://www.lyellcollection.org/toc/sp/199/1</v>
      </c>
      <c r="H466" s="110" t="s">
        <v>70</v>
      </c>
      <c r="I466" s="27" t="s">
        <v>2912</v>
      </c>
      <c r="J466" s="23" t="s">
        <v>71</v>
      </c>
      <c r="K466" s="102">
        <v>95</v>
      </c>
      <c r="L466" s="86" t="s">
        <v>1560</v>
      </c>
    </row>
    <row r="467" spans="1:29" s="41" customFormat="1" ht="31.2" customHeight="1" x14ac:dyDescent="0.2">
      <c r="A467" s="111" t="s">
        <v>1565</v>
      </c>
      <c r="B467" s="107" t="s">
        <v>12</v>
      </c>
      <c r="C467" s="116" t="s">
        <v>1566</v>
      </c>
      <c r="D467" s="105">
        <v>2002</v>
      </c>
      <c r="E467" s="84" t="s">
        <v>1567</v>
      </c>
      <c r="F467" s="84" t="s">
        <v>1568</v>
      </c>
      <c r="G467" s="109" t="str">
        <f>HYPERLINK("https://www.lyellcollection.org/toc/sp/198/1")</f>
        <v>https://www.lyellcollection.org/toc/sp/198/1</v>
      </c>
      <c r="H467" s="110" t="s">
        <v>70</v>
      </c>
      <c r="I467" s="27" t="s">
        <v>2912</v>
      </c>
      <c r="J467" s="23" t="s">
        <v>1273</v>
      </c>
      <c r="K467" s="102">
        <v>95</v>
      </c>
      <c r="L467" s="86" t="s">
        <v>1560</v>
      </c>
      <c r="AB467" s="117"/>
      <c r="AC467" s="117"/>
    </row>
    <row r="468" spans="1:29" s="41" customFormat="1" ht="31.2" customHeight="1" x14ac:dyDescent="0.2">
      <c r="A468" s="111" t="s">
        <v>1569</v>
      </c>
      <c r="B468" s="107" t="s">
        <v>12</v>
      </c>
      <c r="C468" s="116" t="s">
        <v>1570</v>
      </c>
      <c r="D468" s="105">
        <v>2002</v>
      </c>
      <c r="E468" s="84" t="s">
        <v>1571</v>
      </c>
      <c r="F468" s="84" t="s">
        <v>1572</v>
      </c>
      <c r="G468" s="109" t="str">
        <f>HYPERLINK("https://www.lyellcollection.org/toc/sp/197/1")</f>
        <v>https://www.lyellcollection.org/toc/sp/197/1</v>
      </c>
      <c r="H468" s="110" t="s">
        <v>70</v>
      </c>
      <c r="I468" s="27" t="s">
        <v>2912</v>
      </c>
      <c r="J468" s="23" t="s">
        <v>1273</v>
      </c>
      <c r="K468" s="102">
        <v>47.5</v>
      </c>
      <c r="L468" s="86" t="s">
        <v>1560</v>
      </c>
    </row>
    <row r="469" spans="1:29" s="41" customFormat="1" ht="31.2" customHeight="1" x14ac:dyDescent="0.2">
      <c r="A469" s="111" t="s">
        <v>1573</v>
      </c>
      <c r="B469" s="107" t="s">
        <v>12</v>
      </c>
      <c r="C469" s="116" t="s">
        <v>1574</v>
      </c>
      <c r="D469" s="105">
        <v>2002</v>
      </c>
      <c r="E469" s="84" t="s">
        <v>1575</v>
      </c>
      <c r="F469" s="84" t="s">
        <v>1576</v>
      </c>
      <c r="G469" s="109" t="str">
        <f>HYPERLINK("https://www.lyellcollection.org/toc/sp/196/1")</f>
        <v>https://www.lyellcollection.org/toc/sp/196/1</v>
      </c>
      <c r="H469" s="110" t="s">
        <v>70</v>
      </c>
      <c r="I469" s="27" t="s">
        <v>2912</v>
      </c>
      <c r="J469" s="23" t="s">
        <v>1273</v>
      </c>
      <c r="K469" s="102">
        <v>130</v>
      </c>
      <c r="L469" s="86" t="s">
        <v>1560</v>
      </c>
    </row>
    <row r="470" spans="1:29" s="41" customFormat="1" ht="31.2" customHeight="1" x14ac:dyDescent="0.2">
      <c r="A470" s="111" t="s">
        <v>1577</v>
      </c>
      <c r="B470" s="107" t="s">
        <v>12</v>
      </c>
      <c r="C470" s="116" t="s">
        <v>1578</v>
      </c>
      <c r="D470" s="105">
        <v>2002</v>
      </c>
      <c r="E470" s="84" t="s">
        <v>1579</v>
      </c>
      <c r="F470" s="84" t="s">
        <v>1580</v>
      </c>
      <c r="G470" s="109" t="str">
        <f>HYPERLINK("https://www.lyellcollection.org/toc/sp/195/1")</f>
        <v>https://www.lyellcollection.org/toc/sp/195/1</v>
      </c>
      <c r="H470" s="110" t="s">
        <v>70</v>
      </c>
      <c r="I470" s="27" t="s">
        <v>2912</v>
      </c>
      <c r="J470" s="23" t="s">
        <v>1273</v>
      </c>
      <c r="K470" s="102">
        <v>65</v>
      </c>
      <c r="L470" s="86" t="s">
        <v>1560</v>
      </c>
    </row>
    <row r="471" spans="1:29" s="41" customFormat="1" ht="31.2" customHeight="1" x14ac:dyDescent="0.2">
      <c r="A471" s="111" t="s">
        <v>1581</v>
      </c>
      <c r="B471" s="107" t="s">
        <v>12</v>
      </c>
      <c r="C471" s="116" t="s">
        <v>1582</v>
      </c>
      <c r="D471" s="105">
        <v>2002</v>
      </c>
      <c r="E471" s="84" t="s">
        <v>1583</v>
      </c>
      <c r="F471" s="84" t="s">
        <v>1584</v>
      </c>
      <c r="G471" s="109" t="str">
        <f>HYPERLINK("https://www.lyellcollection.org/toc/sp/194/1")</f>
        <v>https://www.lyellcollection.org/toc/sp/194/1</v>
      </c>
      <c r="H471" s="110" t="s">
        <v>70</v>
      </c>
      <c r="I471" s="27" t="s">
        <v>2912</v>
      </c>
      <c r="J471" s="23" t="s">
        <v>1273</v>
      </c>
      <c r="K471" s="102">
        <v>85</v>
      </c>
      <c r="L471" s="86" t="s">
        <v>1560</v>
      </c>
    </row>
    <row r="472" spans="1:29" s="41" customFormat="1" ht="31.2" customHeight="1" x14ac:dyDescent="0.2">
      <c r="A472" s="111" t="s">
        <v>1585</v>
      </c>
      <c r="B472" s="107" t="s">
        <v>12</v>
      </c>
      <c r="C472" s="116" t="s">
        <v>1586</v>
      </c>
      <c r="D472" s="105">
        <v>2002</v>
      </c>
      <c r="E472" s="84" t="s">
        <v>1587</v>
      </c>
      <c r="F472" s="84" t="s">
        <v>1588</v>
      </c>
      <c r="G472" s="109" t="str">
        <f>HYPERLINK("https://www.lyellcollection.org/toc/sp/193/1")</f>
        <v>https://www.lyellcollection.org/toc/sp/193/1</v>
      </c>
      <c r="H472" s="110" t="s">
        <v>70</v>
      </c>
      <c r="I472" s="27" t="s">
        <v>2912</v>
      </c>
      <c r="J472" s="23" t="s">
        <v>1273</v>
      </c>
      <c r="K472" s="102">
        <v>95</v>
      </c>
      <c r="L472" s="86" t="s">
        <v>1560</v>
      </c>
    </row>
    <row r="473" spans="1:29" s="41" customFormat="1" ht="31.2" customHeight="1" x14ac:dyDescent="0.2">
      <c r="A473" s="111" t="s">
        <v>1589</v>
      </c>
      <c r="B473" s="107" t="s">
        <v>12</v>
      </c>
      <c r="C473" s="116" t="s">
        <v>1590</v>
      </c>
      <c r="D473" s="105">
        <v>2002</v>
      </c>
      <c r="E473" s="84" t="s">
        <v>1591</v>
      </c>
      <c r="F473" s="84" t="s">
        <v>1592</v>
      </c>
      <c r="G473" s="109" t="str">
        <f>HYPERLINK("https://www.lyellcollection.org/toc/sp/192/1")</f>
        <v>https://www.lyellcollection.org/toc/sp/192/1</v>
      </c>
      <c r="H473" s="110" t="s">
        <v>70</v>
      </c>
      <c r="I473" s="27" t="s">
        <v>2912</v>
      </c>
      <c r="J473" s="23" t="s">
        <v>1273</v>
      </c>
      <c r="K473" s="102">
        <v>95</v>
      </c>
      <c r="L473" s="86" t="s">
        <v>1560</v>
      </c>
    </row>
    <row r="474" spans="1:29" s="41" customFormat="1" ht="31.2" customHeight="1" x14ac:dyDescent="0.2">
      <c r="A474" s="111" t="s">
        <v>1593</v>
      </c>
      <c r="B474" s="107" t="s">
        <v>12</v>
      </c>
      <c r="C474" s="116" t="s">
        <v>1594</v>
      </c>
      <c r="D474" s="105">
        <v>2002</v>
      </c>
      <c r="E474" s="84" t="s">
        <v>1595</v>
      </c>
      <c r="F474" s="84" t="s">
        <v>1596</v>
      </c>
      <c r="G474" s="109" t="str">
        <f>HYPERLINK("https://www.lyellcollection.org/toc/sp/191/1")</f>
        <v>https://www.lyellcollection.org/toc/sp/191/1</v>
      </c>
      <c r="H474" s="110" t="s">
        <v>70</v>
      </c>
      <c r="I474" s="27" t="s">
        <v>2912</v>
      </c>
      <c r="J474" s="23" t="s">
        <v>1273</v>
      </c>
      <c r="K474" s="102">
        <v>42.5</v>
      </c>
      <c r="L474" s="86" t="s">
        <v>1560</v>
      </c>
    </row>
    <row r="475" spans="1:29" s="41" customFormat="1" ht="31.2" customHeight="1" x14ac:dyDescent="0.2">
      <c r="A475" s="111" t="s">
        <v>1490</v>
      </c>
      <c r="B475" s="116" t="s">
        <v>1491</v>
      </c>
      <c r="C475" s="116" t="s">
        <v>1492</v>
      </c>
      <c r="D475" s="105">
        <v>2002</v>
      </c>
      <c r="E475" s="105" t="s">
        <v>1493</v>
      </c>
      <c r="F475" s="105" t="s">
        <v>1494</v>
      </c>
      <c r="G475" s="112" t="s">
        <v>79</v>
      </c>
      <c r="H475" s="191"/>
      <c r="I475" s="192"/>
      <c r="J475" s="23" t="s">
        <v>71</v>
      </c>
      <c r="K475" s="102">
        <v>16</v>
      </c>
      <c r="L475" s="53"/>
    </row>
    <row r="476" spans="1:29" s="41" customFormat="1" ht="31.2" customHeight="1" x14ac:dyDescent="0.2">
      <c r="A476" s="111" t="s">
        <v>1496</v>
      </c>
      <c r="B476" s="116" t="s">
        <v>1495</v>
      </c>
      <c r="C476" s="106" t="s">
        <v>1497</v>
      </c>
      <c r="D476" s="105">
        <v>2002</v>
      </c>
      <c r="E476" s="84" t="s">
        <v>1498</v>
      </c>
      <c r="F476" s="84" t="s">
        <v>1499</v>
      </c>
      <c r="G476" s="112" t="s">
        <v>79</v>
      </c>
      <c r="H476" s="191"/>
      <c r="I476" s="192"/>
      <c r="J476" s="23" t="s">
        <v>1077</v>
      </c>
      <c r="K476" s="102" t="e">
        <v>#N/A</v>
      </c>
      <c r="L476" s="53"/>
    </row>
    <row r="477" spans="1:29" s="41" customFormat="1" ht="31.2" customHeight="1" x14ac:dyDescent="0.2">
      <c r="A477" s="111" t="s">
        <v>1597</v>
      </c>
      <c r="B477" s="113" t="s">
        <v>39</v>
      </c>
      <c r="C477" s="116" t="s">
        <v>1598</v>
      </c>
      <c r="D477" s="105">
        <v>2002</v>
      </c>
      <c r="E477" s="84" t="s">
        <v>1599</v>
      </c>
      <c r="F477" s="84" t="s">
        <v>1600</v>
      </c>
      <c r="G477" s="109" t="str">
        <f>HYPERLINK("https://www.lyellcollection.org/toc/mem/26/1")</f>
        <v>https://www.lyellcollection.org/toc/mem/26/1</v>
      </c>
      <c r="H477" s="110" t="s">
        <v>70</v>
      </c>
      <c r="I477" s="27" t="s">
        <v>2912</v>
      </c>
      <c r="J477" s="23" t="s">
        <v>1273</v>
      </c>
      <c r="K477" s="102">
        <v>55</v>
      </c>
      <c r="L477" s="53"/>
    </row>
    <row r="478" spans="1:29" s="41" customFormat="1" ht="31.2" customHeight="1" x14ac:dyDescent="0.2">
      <c r="A478" s="121" t="s">
        <v>1601</v>
      </c>
      <c r="B478" s="113" t="s">
        <v>39</v>
      </c>
      <c r="C478" s="116" t="s">
        <v>1602</v>
      </c>
      <c r="D478" s="105">
        <v>2002</v>
      </c>
      <c r="E478" s="84" t="s">
        <v>1603</v>
      </c>
      <c r="F478" s="84" t="s">
        <v>1604</v>
      </c>
      <c r="G478" s="109" t="str">
        <f>HYPERLINK("https://www.lyellcollection.org/toc/mem/25/1")</f>
        <v>https://www.lyellcollection.org/toc/mem/25/1</v>
      </c>
      <c r="H478" s="110" t="s">
        <v>70</v>
      </c>
      <c r="I478" s="27" t="s">
        <v>2912</v>
      </c>
      <c r="J478" s="23" t="s">
        <v>71</v>
      </c>
      <c r="K478" s="102">
        <v>85</v>
      </c>
      <c r="L478" s="53"/>
    </row>
    <row r="479" spans="1:29" s="41" customFormat="1" ht="31.2" customHeight="1" x14ac:dyDescent="0.2">
      <c r="A479" s="111" t="s">
        <v>1605</v>
      </c>
      <c r="B479" s="113" t="s">
        <v>39</v>
      </c>
      <c r="C479" s="116" t="s">
        <v>1606</v>
      </c>
      <c r="D479" s="105">
        <v>2002</v>
      </c>
      <c r="E479" s="84" t="s">
        <v>1607</v>
      </c>
      <c r="F479" s="84" t="s">
        <v>1608</v>
      </c>
      <c r="G479" s="109" t="str">
        <f>HYPERLINK("https://www.lyellcollection.org/toc/mem/24/1")</f>
        <v>https://www.lyellcollection.org/toc/mem/24/1</v>
      </c>
      <c r="H479" s="110" t="s">
        <v>70</v>
      </c>
      <c r="I479" s="27" t="s">
        <v>2912</v>
      </c>
      <c r="J479" s="23" t="s">
        <v>1273</v>
      </c>
      <c r="K479" s="102">
        <v>75</v>
      </c>
      <c r="L479" s="53"/>
    </row>
    <row r="480" spans="1:29" s="41" customFormat="1" ht="31.2" customHeight="1" x14ac:dyDescent="0.2">
      <c r="A480" s="121" t="s">
        <v>1609</v>
      </c>
      <c r="B480" s="113" t="s">
        <v>39</v>
      </c>
      <c r="C480" s="116" t="s">
        <v>1610</v>
      </c>
      <c r="D480" s="105">
        <v>2002</v>
      </c>
      <c r="E480" s="84" t="s">
        <v>1611</v>
      </c>
      <c r="F480" s="84" t="s">
        <v>1612</v>
      </c>
      <c r="G480" s="109" t="str">
        <f>HYPERLINK("https://www.lyellcollection.org/toc/mem/23/1")</f>
        <v>https://www.lyellcollection.org/toc/mem/23/1</v>
      </c>
      <c r="H480" s="110" t="s">
        <v>70</v>
      </c>
      <c r="I480" s="27" t="s">
        <v>2912</v>
      </c>
      <c r="J480" s="23" t="s">
        <v>71</v>
      </c>
      <c r="K480" s="102">
        <v>50</v>
      </c>
      <c r="L480" s="53"/>
    </row>
    <row r="481" spans="1:12" s="41" customFormat="1" ht="31.2" customHeight="1" x14ac:dyDescent="0.2">
      <c r="A481" s="121" t="s">
        <v>1613</v>
      </c>
      <c r="B481" s="113" t="s">
        <v>39</v>
      </c>
      <c r="C481" s="116" t="s">
        <v>1614</v>
      </c>
      <c r="D481" s="105">
        <v>2002</v>
      </c>
      <c r="E481" s="84" t="s">
        <v>1615</v>
      </c>
      <c r="F481" s="84" t="s">
        <v>1616</v>
      </c>
      <c r="G481" s="109" t="str">
        <f>HYPERLINK("https://www.lyellcollection.org/toc/mem/21/1")</f>
        <v>https://www.lyellcollection.org/toc/mem/21/1</v>
      </c>
      <c r="H481" s="110" t="s">
        <v>70</v>
      </c>
      <c r="I481" s="27" t="s">
        <v>2912</v>
      </c>
      <c r="J481" s="23" t="s">
        <v>1077</v>
      </c>
      <c r="K481" s="102" t="e">
        <v>#N/A</v>
      </c>
      <c r="L481" s="53"/>
    </row>
    <row r="482" spans="1:12" s="41" customFormat="1" ht="31.2" customHeight="1" x14ac:dyDescent="0.2">
      <c r="A482" s="111" t="s">
        <v>1500</v>
      </c>
      <c r="B482" s="106" t="s">
        <v>981</v>
      </c>
      <c r="C482" s="116" t="s">
        <v>1501</v>
      </c>
      <c r="D482" s="105">
        <v>2002</v>
      </c>
      <c r="E482" s="105" t="s">
        <v>1502</v>
      </c>
      <c r="F482" s="105" t="s">
        <v>1503</v>
      </c>
      <c r="G482" s="112" t="s">
        <v>79</v>
      </c>
      <c r="H482" s="191"/>
      <c r="I482" s="192"/>
      <c r="J482" s="23" t="s">
        <v>71</v>
      </c>
      <c r="K482" s="102">
        <v>25</v>
      </c>
      <c r="L482" s="53"/>
    </row>
    <row r="483" spans="1:12" s="41" customFormat="1" ht="31.2" customHeight="1" x14ac:dyDescent="0.2">
      <c r="A483" s="111" t="s">
        <v>1504</v>
      </c>
      <c r="B483" s="106" t="s">
        <v>981</v>
      </c>
      <c r="C483" s="116" t="s">
        <v>1505</v>
      </c>
      <c r="D483" s="105">
        <v>2002</v>
      </c>
      <c r="E483" s="105" t="s">
        <v>1506</v>
      </c>
      <c r="F483" s="105" t="s">
        <v>1507</v>
      </c>
      <c r="G483" s="112" t="s">
        <v>79</v>
      </c>
      <c r="H483" s="191"/>
      <c r="I483" s="192"/>
      <c r="J483" s="23" t="s">
        <v>1273</v>
      </c>
      <c r="K483" s="102">
        <v>35</v>
      </c>
      <c r="L483" s="53"/>
    </row>
    <row r="484" spans="1:12" s="41" customFormat="1" ht="31.2" customHeight="1" x14ac:dyDescent="0.2">
      <c r="A484" s="111" t="s">
        <v>1508</v>
      </c>
      <c r="B484" s="106" t="s">
        <v>981</v>
      </c>
      <c r="C484" s="116" t="s">
        <v>1509</v>
      </c>
      <c r="D484" s="105">
        <v>2002</v>
      </c>
      <c r="E484" s="105" t="s">
        <v>1510</v>
      </c>
      <c r="F484" s="105" t="s">
        <v>1511</v>
      </c>
      <c r="G484" s="112" t="s">
        <v>79</v>
      </c>
      <c r="H484" s="191"/>
      <c r="I484" s="192"/>
      <c r="J484" s="23" t="s">
        <v>1273</v>
      </c>
      <c r="K484" s="102">
        <v>25</v>
      </c>
      <c r="L484" s="53"/>
    </row>
    <row r="485" spans="1:12" s="41" customFormat="1" ht="31.2" customHeight="1" x14ac:dyDescent="0.2">
      <c r="A485" s="111" t="s">
        <v>1512</v>
      </c>
      <c r="B485" s="116" t="s">
        <v>220</v>
      </c>
      <c r="C485" s="116" t="s">
        <v>1513</v>
      </c>
      <c r="D485" s="105">
        <v>2002</v>
      </c>
      <c r="E485" s="105" t="s">
        <v>1514</v>
      </c>
      <c r="F485" s="105" t="s">
        <v>1515</v>
      </c>
      <c r="G485" s="112" t="s">
        <v>79</v>
      </c>
      <c r="H485" s="191"/>
      <c r="I485" s="192"/>
      <c r="J485" s="23" t="s">
        <v>1273</v>
      </c>
      <c r="K485" s="102">
        <v>90</v>
      </c>
      <c r="L485" s="53"/>
    </row>
    <row r="486" spans="1:12" s="41" customFormat="1" ht="31.2" customHeight="1" x14ac:dyDescent="0.2">
      <c r="A486" s="111" t="s">
        <v>1516</v>
      </c>
      <c r="B486" s="106" t="s">
        <v>88</v>
      </c>
      <c r="C486" s="116" t="s">
        <v>1517</v>
      </c>
      <c r="D486" s="105">
        <v>2002</v>
      </c>
      <c r="E486" s="105" t="s">
        <v>1518</v>
      </c>
      <c r="F486" s="105" t="s">
        <v>1519</v>
      </c>
      <c r="G486" s="177" t="s">
        <v>185</v>
      </c>
      <c r="H486" s="95" t="s">
        <v>186</v>
      </c>
      <c r="I486" s="27" t="s">
        <v>187</v>
      </c>
      <c r="J486" s="23" t="s">
        <v>71</v>
      </c>
      <c r="K486" s="102">
        <v>35</v>
      </c>
      <c r="L486" s="53"/>
    </row>
    <row r="487" spans="1:12" s="41" customFormat="1" ht="31.2" customHeight="1" x14ac:dyDescent="0.2">
      <c r="A487" s="111" t="s">
        <v>1520</v>
      </c>
      <c r="B487" s="106" t="s">
        <v>88</v>
      </c>
      <c r="C487" s="116" t="s">
        <v>1521</v>
      </c>
      <c r="D487" s="105">
        <v>2002</v>
      </c>
      <c r="E487" s="105" t="s">
        <v>1522</v>
      </c>
      <c r="F487" s="105" t="s">
        <v>1523</v>
      </c>
      <c r="G487" s="177" t="s">
        <v>185</v>
      </c>
      <c r="H487" s="95" t="s">
        <v>186</v>
      </c>
      <c r="I487" s="27" t="s">
        <v>187</v>
      </c>
      <c r="J487" s="23" t="s">
        <v>1077</v>
      </c>
      <c r="K487" s="102" t="e">
        <v>#N/A</v>
      </c>
      <c r="L487" s="53"/>
    </row>
    <row r="488" spans="1:12" s="41" customFormat="1" ht="31.2" customHeight="1" x14ac:dyDescent="0.2">
      <c r="A488" s="111" t="s">
        <v>1524</v>
      </c>
      <c r="B488" s="106" t="s">
        <v>88</v>
      </c>
      <c r="C488" s="116" t="s">
        <v>1525</v>
      </c>
      <c r="D488" s="105">
        <v>2002</v>
      </c>
      <c r="E488" s="105" t="s">
        <v>1526</v>
      </c>
      <c r="F488" s="105" t="s">
        <v>1527</v>
      </c>
      <c r="G488" s="112" t="s">
        <v>79</v>
      </c>
      <c r="H488" s="191"/>
      <c r="I488" s="192"/>
      <c r="J488" s="23" t="s">
        <v>1273</v>
      </c>
      <c r="K488" s="102">
        <v>35</v>
      </c>
      <c r="L488" s="53"/>
    </row>
    <row r="489" spans="1:12" s="41" customFormat="1" ht="31.2" customHeight="1" x14ac:dyDescent="0.2">
      <c r="A489" s="111" t="s">
        <v>1528</v>
      </c>
      <c r="B489" s="106" t="s">
        <v>88</v>
      </c>
      <c r="C489" s="116" t="s">
        <v>1529</v>
      </c>
      <c r="D489" s="105">
        <v>2002</v>
      </c>
      <c r="E489" s="105" t="s">
        <v>1530</v>
      </c>
      <c r="F489" s="105" t="s">
        <v>1531</v>
      </c>
      <c r="G489" s="112" t="s">
        <v>79</v>
      </c>
      <c r="H489" s="191"/>
      <c r="I489" s="192"/>
      <c r="J489" s="23" t="s">
        <v>1077</v>
      </c>
      <c r="K489" s="102" t="e">
        <v>#N/A</v>
      </c>
      <c r="L489" s="53"/>
    </row>
    <row r="490" spans="1:12" s="41" customFormat="1" ht="31.2" customHeight="1" x14ac:dyDescent="0.2">
      <c r="A490" s="111" t="s">
        <v>1617</v>
      </c>
      <c r="B490" s="106" t="s">
        <v>1407</v>
      </c>
      <c r="C490" s="106" t="s">
        <v>1618</v>
      </c>
      <c r="D490" s="105">
        <v>2001</v>
      </c>
      <c r="E490" s="105" t="s">
        <v>1619</v>
      </c>
      <c r="F490" s="105" t="s">
        <v>1620</v>
      </c>
      <c r="G490" s="112" t="s">
        <v>79</v>
      </c>
      <c r="H490" s="191"/>
      <c r="I490" s="192"/>
      <c r="J490" s="23" t="s">
        <v>71</v>
      </c>
      <c r="K490" s="102">
        <v>65</v>
      </c>
      <c r="L490" s="53"/>
    </row>
    <row r="491" spans="1:12" s="41" customFormat="1" ht="31.2" customHeight="1" x14ac:dyDescent="0.2">
      <c r="A491" s="111" t="s">
        <v>1629</v>
      </c>
      <c r="B491" s="107" t="s">
        <v>43</v>
      </c>
      <c r="C491" s="116" t="s">
        <v>1630</v>
      </c>
      <c r="D491" s="105">
        <v>2001</v>
      </c>
      <c r="E491" s="84" t="s">
        <v>1631</v>
      </c>
      <c r="F491" s="84" t="s">
        <v>1632</v>
      </c>
      <c r="G491" s="109" t="str">
        <f>HYPERLINK("https://www.lyellcollection.org/toc/egsp/18/1")</f>
        <v>https://www.lyellcollection.org/toc/egsp/18/1</v>
      </c>
      <c r="H491" s="110" t="s">
        <v>70</v>
      </c>
      <c r="I491" s="27" t="s">
        <v>2912</v>
      </c>
      <c r="J491" s="23" t="s">
        <v>1273</v>
      </c>
      <c r="K491" s="102">
        <v>80</v>
      </c>
      <c r="L491" s="53"/>
    </row>
    <row r="492" spans="1:12" s="41" customFormat="1" ht="31.2" customHeight="1" x14ac:dyDescent="0.2">
      <c r="A492" s="121" t="s">
        <v>1633</v>
      </c>
      <c r="B492" s="107" t="s">
        <v>43</v>
      </c>
      <c r="C492" s="106" t="s">
        <v>1634</v>
      </c>
      <c r="D492" s="105">
        <v>2001</v>
      </c>
      <c r="E492" s="84" t="s">
        <v>1635</v>
      </c>
      <c r="F492" s="84" t="s">
        <v>1636</v>
      </c>
      <c r="G492" s="109" t="str">
        <f>HYPERLINK("https://www.lyellcollection.org/toc/egsp/17/1")</f>
        <v>https://www.lyellcollection.org/toc/egsp/17/1</v>
      </c>
      <c r="H492" s="110" t="s">
        <v>70</v>
      </c>
      <c r="I492" s="27" t="s">
        <v>2912</v>
      </c>
      <c r="J492" s="23" t="s">
        <v>1077</v>
      </c>
      <c r="K492" s="102" t="e">
        <v>#N/A</v>
      </c>
      <c r="L492" s="53"/>
    </row>
    <row r="493" spans="1:12" s="41" customFormat="1" ht="31.2" customHeight="1" x14ac:dyDescent="0.2">
      <c r="A493" s="111" t="s">
        <v>1637</v>
      </c>
      <c r="B493" s="107" t="s">
        <v>12</v>
      </c>
      <c r="C493" s="116" t="s">
        <v>1638</v>
      </c>
      <c r="D493" s="105">
        <v>2001</v>
      </c>
      <c r="E493" s="84" t="s">
        <v>1639</v>
      </c>
      <c r="F493" s="84" t="s">
        <v>1640</v>
      </c>
      <c r="G493" s="109" t="str">
        <f>HYPERLINK("https://www.lyellcollection.org/toc/sp/190/1")</f>
        <v>https://www.lyellcollection.org/toc/sp/190/1</v>
      </c>
      <c r="H493" s="110" t="s">
        <v>70</v>
      </c>
      <c r="I493" s="27" t="s">
        <v>2912</v>
      </c>
      <c r="J493" s="23" t="s">
        <v>1273</v>
      </c>
      <c r="K493" s="102" t="e">
        <v>#N/A</v>
      </c>
      <c r="L493" s="86" t="s">
        <v>1560</v>
      </c>
    </row>
    <row r="494" spans="1:12" s="41" customFormat="1" ht="31.2" customHeight="1" x14ac:dyDescent="0.2">
      <c r="A494" s="121" t="s">
        <v>1641</v>
      </c>
      <c r="B494" s="107" t="s">
        <v>12</v>
      </c>
      <c r="C494" s="116" t="s">
        <v>1642</v>
      </c>
      <c r="D494" s="105">
        <v>2001</v>
      </c>
      <c r="E494" s="84" t="s">
        <v>1643</v>
      </c>
      <c r="F494" s="84" t="s">
        <v>1644</v>
      </c>
      <c r="G494" s="109" t="str">
        <f>HYPERLINK("https://www.lyellcollection.org/toc/sp/189/1")</f>
        <v>https://www.lyellcollection.org/toc/sp/189/1</v>
      </c>
      <c r="H494" s="110" t="s">
        <v>70</v>
      </c>
      <c r="I494" s="27" t="s">
        <v>2912</v>
      </c>
      <c r="J494" s="23" t="s">
        <v>1273</v>
      </c>
      <c r="K494" s="102">
        <v>85</v>
      </c>
      <c r="L494" s="86" t="s">
        <v>1560</v>
      </c>
    </row>
    <row r="495" spans="1:12" s="41" customFormat="1" ht="31.2" customHeight="1" x14ac:dyDescent="0.2">
      <c r="A495" s="111" t="s">
        <v>1645</v>
      </c>
      <c r="B495" s="107" t="s">
        <v>12</v>
      </c>
      <c r="C495" s="116" t="s">
        <v>1646</v>
      </c>
      <c r="D495" s="105">
        <v>2001</v>
      </c>
      <c r="E495" s="84" t="s">
        <v>1647</v>
      </c>
      <c r="F495" s="84" t="s">
        <v>1648</v>
      </c>
      <c r="G495" s="109" t="str">
        <f>HYPERLINK("https://www.lyellcollection.org/toc/sp/188/1")</f>
        <v>https://www.lyellcollection.org/toc/sp/188/1</v>
      </c>
      <c r="H495" s="110" t="s">
        <v>70</v>
      </c>
      <c r="I495" s="27" t="s">
        <v>2912</v>
      </c>
      <c r="J495" s="23" t="s">
        <v>1273</v>
      </c>
      <c r="K495" s="102">
        <v>47.5</v>
      </c>
      <c r="L495" s="86" t="s">
        <v>1560</v>
      </c>
    </row>
    <row r="496" spans="1:12" s="41" customFormat="1" ht="31.2" customHeight="1" x14ac:dyDescent="0.2">
      <c r="A496" s="121" t="s">
        <v>1649</v>
      </c>
      <c r="B496" s="107" t="s">
        <v>12</v>
      </c>
      <c r="C496" s="116" t="s">
        <v>1650</v>
      </c>
      <c r="D496" s="105">
        <v>2001</v>
      </c>
      <c r="E496" s="84" t="s">
        <v>1651</v>
      </c>
      <c r="F496" s="84" t="s">
        <v>1652</v>
      </c>
      <c r="G496" s="109" t="str">
        <f>HYPERLINK("https://www.lyellcollection.org/toc/sp/187/1")</f>
        <v>https://www.lyellcollection.org/toc/sp/187/1</v>
      </c>
      <c r="H496" s="110" t="s">
        <v>70</v>
      </c>
      <c r="I496" s="27" t="s">
        <v>2912</v>
      </c>
      <c r="J496" s="23" t="s">
        <v>1273</v>
      </c>
      <c r="K496" s="102">
        <v>57.5</v>
      </c>
      <c r="L496" s="86" t="s">
        <v>1560</v>
      </c>
    </row>
    <row r="497" spans="1:29" s="41" customFormat="1" ht="31.2" customHeight="1" x14ac:dyDescent="0.2">
      <c r="A497" s="111" t="s">
        <v>1653</v>
      </c>
      <c r="B497" s="107" t="s">
        <v>12</v>
      </c>
      <c r="C497" s="116" t="s">
        <v>1654</v>
      </c>
      <c r="D497" s="105">
        <v>2001</v>
      </c>
      <c r="E497" s="84" t="s">
        <v>1655</v>
      </c>
      <c r="F497" s="84" t="s">
        <v>1656</v>
      </c>
      <c r="G497" s="109" t="str">
        <f>HYPERLINK("https://www.lyellcollection.org/toc/sp/186/1")</f>
        <v>https://www.lyellcollection.org/toc/sp/186/1</v>
      </c>
      <c r="H497" s="110" t="s">
        <v>70</v>
      </c>
      <c r="I497" s="27" t="s">
        <v>2912</v>
      </c>
      <c r="J497" s="23" t="s">
        <v>1273</v>
      </c>
      <c r="K497" s="102">
        <v>90</v>
      </c>
      <c r="L497" s="86" t="s">
        <v>1560</v>
      </c>
    </row>
    <row r="498" spans="1:29" s="41" customFormat="1" ht="31.2" customHeight="1" x14ac:dyDescent="0.2">
      <c r="A498" s="121" t="s">
        <v>1657</v>
      </c>
      <c r="B498" s="107" t="s">
        <v>12</v>
      </c>
      <c r="C498" s="116" t="s">
        <v>1658</v>
      </c>
      <c r="D498" s="105">
        <v>2001</v>
      </c>
      <c r="E498" s="84" t="s">
        <v>1659</v>
      </c>
      <c r="F498" s="84" t="s">
        <v>1660</v>
      </c>
      <c r="G498" s="109" t="str">
        <f>HYPERLINK("https://www.lyellcollection.org/toc/sp/185/1")</f>
        <v>https://www.lyellcollection.org/toc/sp/185/1</v>
      </c>
      <c r="H498" s="110" t="s">
        <v>70</v>
      </c>
      <c r="I498" s="27" t="s">
        <v>2912</v>
      </c>
      <c r="J498" s="23" t="s">
        <v>1273</v>
      </c>
      <c r="K498" s="102">
        <v>85</v>
      </c>
      <c r="L498" s="86" t="s">
        <v>1560</v>
      </c>
    </row>
    <row r="499" spans="1:29" s="41" customFormat="1" ht="31.2" customHeight="1" x14ac:dyDescent="0.2">
      <c r="A499" s="111" t="s">
        <v>1661</v>
      </c>
      <c r="B499" s="107" t="s">
        <v>12</v>
      </c>
      <c r="C499" s="116" t="s">
        <v>1662</v>
      </c>
      <c r="D499" s="105">
        <v>2001</v>
      </c>
      <c r="E499" s="84" t="s">
        <v>1663</v>
      </c>
      <c r="F499" s="84" t="s">
        <v>1664</v>
      </c>
      <c r="G499" s="109" t="str">
        <f>HYPERLINK("https://www.lyellcollection.org/toc/sp/184/1")</f>
        <v>https://www.lyellcollection.org/toc/sp/184/1</v>
      </c>
      <c r="H499" s="110" t="s">
        <v>70</v>
      </c>
      <c r="I499" s="27" t="s">
        <v>2912</v>
      </c>
      <c r="J499" s="23" t="s">
        <v>1273</v>
      </c>
      <c r="K499" s="102">
        <v>100</v>
      </c>
      <c r="L499" s="86" t="s">
        <v>1560</v>
      </c>
    </row>
    <row r="500" spans="1:29" s="41" customFormat="1" ht="31.2" customHeight="1" x14ac:dyDescent="0.2">
      <c r="A500" s="121" t="s">
        <v>1665</v>
      </c>
      <c r="B500" s="107" t="s">
        <v>12</v>
      </c>
      <c r="C500" s="116" t="s">
        <v>1666</v>
      </c>
      <c r="D500" s="105">
        <v>2001</v>
      </c>
      <c r="E500" s="84" t="s">
        <v>1667</v>
      </c>
      <c r="F500" s="84" t="s">
        <v>1668</v>
      </c>
      <c r="G500" s="109" t="str">
        <f>HYPERLINK("https://www.lyellcollection.org/toc/sp/183/1")</f>
        <v>https://www.lyellcollection.org/toc/sp/183/1</v>
      </c>
      <c r="H500" s="110" t="s">
        <v>70</v>
      </c>
      <c r="I500" s="27" t="s">
        <v>2912</v>
      </c>
      <c r="J500" s="23" t="s">
        <v>1273</v>
      </c>
      <c r="K500" s="102">
        <v>47.5</v>
      </c>
      <c r="L500" s="86" t="s">
        <v>1560</v>
      </c>
      <c r="AB500" s="117"/>
      <c r="AC500" s="117"/>
    </row>
    <row r="501" spans="1:29" s="41" customFormat="1" ht="31.2" customHeight="1" x14ac:dyDescent="0.2">
      <c r="A501" s="111" t="s">
        <v>1621</v>
      </c>
      <c r="B501" s="116" t="s">
        <v>690</v>
      </c>
      <c r="C501" s="106" t="s">
        <v>1622</v>
      </c>
      <c r="D501" s="105">
        <v>2001</v>
      </c>
      <c r="E501" s="105" t="s">
        <v>1623</v>
      </c>
      <c r="F501" s="105" t="s">
        <v>1624</v>
      </c>
      <c r="G501" s="112" t="s">
        <v>79</v>
      </c>
      <c r="H501" s="191"/>
      <c r="I501" s="192"/>
      <c r="J501" s="23" t="s">
        <v>71</v>
      </c>
      <c r="K501" s="102">
        <v>125</v>
      </c>
      <c r="L501" s="53"/>
    </row>
    <row r="502" spans="1:29" s="41" customFormat="1" ht="31.2" customHeight="1" x14ac:dyDescent="0.2">
      <c r="A502" s="111" t="s">
        <v>1625</v>
      </c>
      <c r="B502" s="116" t="s">
        <v>220</v>
      </c>
      <c r="C502" s="116" t="s">
        <v>1626</v>
      </c>
      <c r="D502" s="105">
        <v>2001</v>
      </c>
      <c r="E502" s="105" t="s">
        <v>1627</v>
      </c>
      <c r="F502" s="105" t="s">
        <v>1628</v>
      </c>
      <c r="G502" s="112" t="s">
        <v>79</v>
      </c>
      <c r="H502" s="191"/>
      <c r="I502" s="192"/>
      <c r="J502" s="23" t="s">
        <v>71</v>
      </c>
      <c r="K502" s="102">
        <v>100</v>
      </c>
      <c r="L502" s="53"/>
    </row>
    <row r="503" spans="1:29" s="41" customFormat="1" ht="31.2" customHeight="1" x14ac:dyDescent="0.2">
      <c r="A503" s="111" t="s">
        <v>1669</v>
      </c>
      <c r="B503" s="122" t="s">
        <v>76</v>
      </c>
      <c r="C503" s="116" t="s">
        <v>1670</v>
      </c>
      <c r="D503" s="105">
        <v>2000</v>
      </c>
      <c r="E503" s="105" t="s">
        <v>1671</v>
      </c>
      <c r="F503" s="105" t="s">
        <v>1672</v>
      </c>
      <c r="G503" s="112" t="s">
        <v>79</v>
      </c>
      <c r="H503" s="191"/>
      <c r="I503" s="192"/>
      <c r="J503" s="23" t="s">
        <v>1273</v>
      </c>
      <c r="K503" s="102">
        <v>18</v>
      </c>
      <c r="L503" s="53"/>
    </row>
    <row r="504" spans="1:29" s="41" customFormat="1" ht="31.2" customHeight="1" x14ac:dyDescent="0.2">
      <c r="A504" s="111" t="s">
        <v>1677</v>
      </c>
      <c r="B504" s="107" t="s">
        <v>12</v>
      </c>
      <c r="C504" s="116" t="s">
        <v>1678</v>
      </c>
      <c r="D504" s="105">
        <v>2000</v>
      </c>
      <c r="E504" s="84" t="s">
        <v>1679</v>
      </c>
      <c r="F504" s="84" t="s">
        <v>1680</v>
      </c>
      <c r="G504" s="109" t="str">
        <f>HYPERLINK("https://www.lyellcollection.org/toc/sp/182/1")</f>
        <v>https://www.lyellcollection.org/toc/sp/182/1</v>
      </c>
      <c r="H504" s="110" t="s">
        <v>70</v>
      </c>
      <c r="I504" s="27" t="s">
        <v>2912</v>
      </c>
      <c r="J504" s="23" t="s">
        <v>1273</v>
      </c>
      <c r="K504" s="102">
        <v>45</v>
      </c>
      <c r="L504" s="86" t="s">
        <v>1560</v>
      </c>
    </row>
    <row r="505" spans="1:29" s="41" customFormat="1" ht="31.2" customHeight="1" x14ac:dyDescent="0.2">
      <c r="A505" s="121" t="s">
        <v>1681</v>
      </c>
      <c r="B505" s="107" t="s">
        <v>12</v>
      </c>
      <c r="C505" s="116" t="s">
        <v>1682</v>
      </c>
      <c r="D505" s="105">
        <v>2000</v>
      </c>
      <c r="E505" s="84" t="s">
        <v>1683</v>
      </c>
      <c r="F505" s="84" t="s">
        <v>1684</v>
      </c>
      <c r="G505" s="109" t="str">
        <f>HYPERLINK("https://www.lyellcollection.org/toc/sp/181/1")</f>
        <v>https://www.lyellcollection.org/toc/sp/181/1</v>
      </c>
      <c r="H505" s="110" t="s">
        <v>70</v>
      </c>
      <c r="I505" s="27" t="s">
        <v>2912</v>
      </c>
      <c r="J505" s="23" t="s">
        <v>1273</v>
      </c>
      <c r="K505" s="102">
        <v>85</v>
      </c>
      <c r="L505" s="86" t="s">
        <v>1560</v>
      </c>
    </row>
    <row r="506" spans="1:29" s="41" customFormat="1" ht="31.2" customHeight="1" x14ac:dyDescent="0.2">
      <c r="A506" s="111" t="s">
        <v>1685</v>
      </c>
      <c r="B506" s="107" t="s">
        <v>12</v>
      </c>
      <c r="C506" s="116" t="s">
        <v>1686</v>
      </c>
      <c r="D506" s="105">
        <v>2000</v>
      </c>
      <c r="E506" s="84" t="s">
        <v>1687</v>
      </c>
      <c r="F506" s="84" t="s">
        <v>1688</v>
      </c>
      <c r="G506" s="109" t="str">
        <f>HYPERLINK("https://www.lyellcollection.org/toc/sp/180/1")</f>
        <v>https://www.lyellcollection.org/toc/sp/180/1</v>
      </c>
      <c r="H506" s="110" t="s">
        <v>70</v>
      </c>
      <c r="I506" s="27" t="s">
        <v>2912</v>
      </c>
      <c r="J506" s="23" t="s">
        <v>1273</v>
      </c>
      <c r="K506" s="102">
        <v>100</v>
      </c>
      <c r="L506" s="86" t="s">
        <v>1560</v>
      </c>
    </row>
    <row r="507" spans="1:29" s="41" customFormat="1" ht="31.2" customHeight="1" x14ac:dyDescent="0.2">
      <c r="A507" s="121" t="s">
        <v>1689</v>
      </c>
      <c r="B507" s="107" t="s">
        <v>12</v>
      </c>
      <c r="C507" s="116" t="s">
        <v>1690</v>
      </c>
      <c r="D507" s="105">
        <v>2000</v>
      </c>
      <c r="E507" s="84" t="s">
        <v>1691</v>
      </c>
      <c r="F507" s="84" t="s">
        <v>1692</v>
      </c>
      <c r="G507" s="109" t="str">
        <f>HYPERLINK("https://www.lyellcollection.org/toc/sp/179/1")</f>
        <v>https://www.lyellcollection.org/toc/sp/179/1</v>
      </c>
      <c r="H507" s="110" t="s">
        <v>70</v>
      </c>
      <c r="I507" s="27" t="s">
        <v>2912</v>
      </c>
      <c r="J507" s="23" t="s">
        <v>1273</v>
      </c>
      <c r="K507" s="102">
        <v>100</v>
      </c>
      <c r="L507" s="86" t="s">
        <v>1560</v>
      </c>
    </row>
    <row r="508" spans="1:29" s="41" customFormat="1" ht="31.2" customHeight="1" x14ac:dyDescent="0.2">
      <c r="A508" s="111" t="s">
        <v>1693</v>
      </c>
      <c r="B508" s="107" t="s">
        <v>12</v>
      </c>
      <c r="C508" s="116" t="s">
        <v>1694</v>
      </c>
      <c r="D508" s="105">
        <v>2000</v>
      </c>
      <c r="E508" s="84" t="s">
        <v>1695</v>
      </c>
      <c r="F508" s="84" t="s">
        <v>1696</v>
      </c>
      <c r="G508" s="109" t="str">
        <f>HYPERLINK("https://www.lyellcollection.org/toc/sp/178/1")</f>
        <v>https://www.lyellcollection.org/toc/sp/178/1</v>
      </c>
      <c r="H508" s="110" t="s">
        <v>70</v>
      </c>
      <c r="I508" s="27" t="s">
        <v>2912</v>
      </c>
      <c r="J508" s="23" t="s">
        <v>1273</v>
      </c>
      <c r="K508" s="102">
        <v>80</v>
      </c>
      <c r="L508" s="86" t="s">
        <v>1560</v>
      </c>
    </row>
    <row r="509" spans="1:29" s="41" customFormat="1" ht="31.2" customHeight="1" x14ac:dyDescent="0.2">
      <c r="A509" s="121" t="s">
        <v>1697</v>
      </c>
      <c r="B509" s="107" t="s">
        <v>12</v>
      </c>
      <c r="C509" s="116" t="s">
        <v>1698</v>
      </c>
      <c r="D509" s="105">
        <v>2000</v>
      </c>
      <c r="E509" s="84" t="s">
        <v>1699</v>
      </c>
      <c r="F509" s="84" t="s">
        <v>1700</v>
      </c>
      <c r="G509" s="109" t="str">
        <f>HYPERLINK("https://www.lyellcollection.org/toc/sp/177/1")</f>
        <v>https://www.lyellcollection.org/toc/sp/177/1</v>
      </c>
      <c r="H509" s="110" t="s">
        <v>70</v>
      </c>
      <c r="I509" s="27" t="s">
        <v>2912</v>
      </c>
      <c r="J509" s="23" t="s">
        <v>71</v>
      </c>
      <c r="K509" s="102">
        <v>115</v>
      </c>
      <c r="L509" s="86" t="s">
        <v>1560</v>
      </c>
    </row>
    <row r="510" spans="1:29" s="41" customFormat="1" ht="31.2" customHeight="1" x14ac:dyDescent="0.2">
      <c r="A510" s="111" t="s">
        <v>1701</v>
      </c>
      <c r="B510" s="107" t="s">
        <v>12</v>
      </c>
      <c r="C510" s="116" t="s">
        <v>1702</v>
      </c>
      <c r="D510" s="105">
        <v>2000</v>
      </c>
      <c r="E510" s="84" t="s">
        <v>1703</v>
      </c>
      <c r="F510" s="84" t="s">
        <v>1704</v>
      </c>
      <c r="G510" s="109" t="str">
        <f>HYPERLINK("https://www.lyellcollection.org/toc/sp/176/1")</f>
        <v>https://www.lyellcollection.org/toc/sp/176/1</v>
      </c>
      <c r="H510" s="110" t="s">
        <v>70</v>
      </c>
      <c r="I510" s="27" t="s">
        <v>2912</v>
      </c>
      <c r="J510" s="23" t="s">
        <v>1273</v>
      </c>
      <c r="K510" s="102">
        <v>95</v>
      </c>
      <c r="L510" s="86" t="s">
        <v>1560</v>
      </c>
    </row>
    <row r="511" spans="1:29" s="41" customFormat="1" ht="31.2" customHeight="1" x14ac:dyDescent="0.2">
      <c r="A511" s="121" t="s">
        <v>1705</v>
      </c>
      <c r="B511" s="107" t="s">
        <v>12</v>
      </c>
      <c r="C511" s="116" t="s">
        <v>1706</v>
      </c>
      <c r="D511" s="105">
        <v>2000</v>
      </c>
      <c r="E511" s="84" t="s">
        <v>1707</v>
      </c>
      <c r="F511" s="84" t="s">
        <v>1708</v>
      </c>
      <c r="G511" s="109" t="str">
        <f>HYPERLINK("https://www.lyellcollection.org/toc/sp/175/1")</f>
        <v>https://www.lyellcollection.org/toc/sp/175/1</v>
      </c>
      <c r="H511" s="110" t="s">
        <v>70</v>
      </c>
      <c r="I511" s="27" t="s">
        <v>2912</v>
      </c>
      <c r="J511" s="23" t="s">
        <v>1077</v>
      </c>
      <c r="K511" s="102" t="e">
        <v>#N/A</v>
      </c>
      <c r="L511" s="86" t="s">
        <v>1560</v>
      </c>
    </row>
    <row r="512" spans="1:29" s="41" customFormat="1" ht="31.2" customHeight="1" x14ac:dyDescent="0.2">
      <c r="A512" s="121" t="s">
        <v>1709</v>
      </c>
      <c r="B512" s="107" t="s">
        <v>12</v>
      </c>
      <c r="C512" s="116" t="s">
        <v>1710</v>
      </c>
      <c r="D512" s="105">
        <v>2000</v>
      </c>
      <c r="E512" s="84" t="s">
        <v>1711</v>
      </c>
      <c r="F512" s="84" t="s">
        <v>1712</v>
      </c>
      <c r="G512" s="109" t="str">
        <f>HYPERLINK("https://www.lyellcollection.org/toc/sp/173/1")</f>
        <v>https://www.lyellcollection.org/toc/sp/173/1</v>
      </c>
      <c r="H512" s="110" t="s">
        <v>70</v>
      </c>
      <c r="I512" s="27" t="s">
        <v>2912</v>
      </c>
      <c r="J512" s="23" t="s">
        <v>1273</v>
      </c>
      <c r="K512" s="102">
        <v>110</v>
      </c>
      <c r="L512" s="86" t="s">
        <v>1560</v>
      </c>
    </row>
    <row r="513" spans="1:12" s="41" customFormat="1" ht="31.2" customHeight="1" x14ac:dyDescent="0.2">
      <c r="A513" s="111" t="s">
        <v>1713</v>
      </c>
      <c r="B513" s="107" t="s">
        <v>12</v>
      </c>
      <c r="C513" s="116" t="s">
        <v>1714</v>
      </c>
      <c r="D513" s="105">
        <v>2000</v>
      </c>
      <c r="E513" s="84" t="s">
        <v>1715</v>
      </c>
      <c r="F513" s="84" t="s">
        <v>1716</v>
      </c>
      <c r="G513" s="109" t="str">
        <f>HYPERLINK("https://www.lyellcollection.org/toc/sp/172/1")</f>
        <v>https://www.lyellcollection.org/toc/sp/172/1</v>
      </c>
      <c r="H513" s="110" t="s">
        <v>70</v>
      </c>
      <c r="I513" s="27" t="s">
        <v>2912</v>
      </c>
      <c r="J513" s="23" t="s">
        <v>1077</v>
      </c>
      <c r="K513" s="102" t="e">
        <v>#N/A</v>
      </c>
      <c r="L513" s="86" t="s">
        <v>1560</v>
      </c>
    </row>
    <row r="514" spans="1:12" s="41" customFormat="1" ht="31.2" customHeight="1" x14ac:dyDescent="0.2">
      <c r="A514" s="121" t="s">
        <v>1717</v>
      </c>
      <c r="B514" s="107" t="s">
        <v>12</v>
      </c>
      <c r="C514" s="116" t="s">
        <v>1718</v>
      </c>
      <c r="D514" s="105">
        <v>2000</v>
      </c>
      <c r="E514" s="84" t="s">
        <v>1719</v>
      </c>
      <c r="F514" s="84" t="s">
        <v>1720</v>
      </c>
      <c r="G514" s="109" t="str">
        <f>HYPERLINK("https://www.lyellcollection.org/toc/sp/171/1")</f>
        <v>https://www.lyellcollection.org/toc/sp/171/1</v>
      </c>
      <c r="H514" s="110" t="s">
        <v>70</v>
      </c>
      <c r="I514" s="27" t="s">
        <v>2912</v>
      </c>
      <c r="J514" s="23" t="s">
        <v>1077</v>
      </c>
      <c r="K514" s="102" t="e">
        <v>#N/A</v>
      </c>
      <c r="L514" s="86" t="s">
        <v>1560</v>
      </c>
    </row>
    <row r="515" spans="1:12" s="41" customFormat="1" ht="31.2" customHeight="1" x14ac:dyDescent="0.2">
      <c r="A515" s="111" t="s">
        <v>1721</v>
      </c>
      <c r="B515" s="107" t="s">
        <v>12</v>
      </c>
      <c r="C515" s="116" t="s">
        <v>1722</v>
      </c>
      <c r="D515" s="105">
        <v>2000</v>
      </c>
      <c r="E515" s="84" t="s">
        <v>1723</v>
      </c>
      <c r="F515" s="84" t="s">
        <v>1724</v>
      </c>
      <c r="G515" s="109" t="str">
        <f>HYPERLINK("https://www.lyellcollection.org/toc/sp/170/1")</f>
        <v>https://www.lyellcollection.org/toc/sp/170/1</v>
      </c>
      <c r="H515" s="110" t="s">
        <v>70</v>
      </c>
      <c r="I515" s="27" t="s">
        <v>2912</v>
      </c>
      <c r="J515" s="23" t="s">
        <v>1273</v>
      </c>
      <c r="K515" s="102">
        <v>105</v>
      </c>
      <c r="L515" s="86" t="s">
        <v>1560</v>
      </c>
    </row>
    <row r="516" spans="1:12" s="41" customFormat="1" ht="31.2" customHeight="1" x14ac:dyDescent="0.2">
      <c r="A516" s="121" t="s">
        <v>1725</v>
      </c>
      <c r="B516" s="107" t="s">
        <v>12</v>
      </c>
      <c r="C516" s="116" t="s">
        <v>1726</v>
      </c>
      <c r="D516" s="105">
        <v>2000</v>
      </c>
      <c r="E516" s="84" t="s">
        <v>1727</v>
      </c>
      <c r="F516" s="84" t="s">
        <v>1728</v>
      </c>
      <c r="G516" s="109" t="str">
        <f>HYPERLINK("https://www.lyellcollection.org/toc/sp/167/1")</f>
        <v>https://www.lyellcollection.org/toc/sp/167/1</v>
      </c>
      <c r="H516" s="110" t="s">
        <v>70</v>
      </c>
      <c r="I516" s="27" t="s">
        <v>2912</v>
      </c>
      <c r="J516" s="23" t="s">
        <v>1273</v>
      </c>
      <c r="K516" s="102">
        <v>110</v>
      </c>
      <c r="L516" s="86" t="s">
        <v>1560</v>
      </c>
    </row>
    <row r="517" spans="1:12" s="41" customFormat="1" ht="31.2" customHeight="1" x14ac:dyDescent="0.2">
      <c r="A517" s="111" t="s">
        <v>1729</v>
      </c>
      <c r="B517" s="107" t="s">
        <v>12</v>
      </c>
      <c r="C517" s="116" t="s">
        <v>1730</v>
      </c>
      <c r="D517" s="105">
        <v>2000</v>
      </c>
      <c r="E517" s="84" t="s">
        <v>1731</v>
      </c>
      <c r="F517" s="84" t="s">
        <v>1732</v>
      </c>
      <c r="G517" s="109" t="str">
        <f>HYPERLINK("https://www.lyellcollection.org/toc/sp/166/1")</f>
        <v>https://www.lyellcollection.org/toc/sp/166/1</v>
      </c>
      <c r="H517" s="110" t="s">
        <v>70</v>
      </c>
      <c r="I517" s="27" t="s">
        <v>2912</v>
      </c>
      <c r="J517" s="23" t="s">
        <v>71</v>
      </c>
      <c r="K517" s="102">
        <v>95</v>
      </c>
      <c r="L517" s="86" t="s">
        <v>1560</v>
      </c>
    </row>
    <row r="518" spans="1:12" s="41" customFormat="1" ht="31.2" customHeight="1" x14ac:dyDescent="0.2">
      <c r="A518" s="111" t="s">
        <v>1673</v>
      </c>
      <c r="B518" s="116" t="s">
        <v>220</v>
      </c>
      <c r="C518" s="116" t="s">
        <v>1674</v>
      </c>
      <c r="D518" s="105">
        <v>2000</v>
      </c>
      <c r="E518" s="105" t="s">
        <v>1675</v>
      </c>
      <c r="F518" s="105" t="s">
        <v>1676</v>
      </c>
      <c r="G518" s="112" t="s">
        <v>79</v>
      </c>
      <c r="H518" s="191"/>
      <c r="I518" s="192"/>
      <c r="J518" s="23" t="s">
        <v>1273</v>
      </c>
      <c r="K518" s="102">
        <v>100</v>
      </c>
      <c r="L518" s="53"/>
    </row>
    <row r="519" spans="1:12" s="41" customFormat="1" ht="31.2" customHeight="1" x14ac:dyDescent="0.2">
      <c r="A519" s="111" t="s">
        <v>1733</v>
      </c>
      <c r="B519" s="116" t="s">
        <v>220</v>
      </c>
      <c r="C519" s="116" t="s">
        <v>1734</v>
      </c>
      <c r="D519" s="105">
        <v>1999</v>
      </c>
      <c r="E519" s="105" t="s">
        <v>1735</v>
      </c>
      <c r="F519" s="105" t="s">
        <v>1736</v>
      </c>
      <c r="G519" s="112" t="s">
        <v>79</v>
      </c>
      <c r="H519" s="191"/>
      <c r="I519" s="192"/>
      <c r="J519" s="23" t="s">
        <v>1273</v>
      </c>
      <c r="K519" s="102">
        <v>35</v>
      </c>
      <c r="L519" s="53"/>
    </row>
    <row r="520" spans="1:12" s="41" customFormat="1" ht="31.2" customHeight="1" x14ac:dyDescent="0.2">
      <c r="A520" s="121" t="s">
        <v>1737</v>
      </c>
      <c r="B520" s="122" t="s">
        <v>76</v>
      </c>
      <c r="C520" s="122" t="s">
        <v>1738</v>
      </c>
      <c r="D520" s="127">
        <v>1999</v>
      </c>
      <c r="E520" s="127" t="s">
        <v>1739</v>
      </c>
      <c r="F520" s="127" t="s">
        <v>1740</v>
      </c>
      <c r="G520" s="112" t="s">
        <v>79</v>
      </c>
      <c r="H520" s="191"/>
      <c r="I520" s="192"/>
      <c r="J520" s="23" t="s">
        <v>1273</v>
      </c>
      <c r="K520" s="102">
        <v>39</v>
      </c>
      <c r="L520" s="53"/>
    </row>
    <row r="521" spans="1:12" s="41" customFormat="1" ht="31.2" customHeight="1" x14ac:dyDescent="0.2">
      <c r="A521" s="121" t="s">
        <v>1756</v>
      </c>
      <c r="B521" s="107" t="s">
        <v>43</v>
      </c>
      <c r="C521" s="116" t="s">
        <v>1757</v>
      </c>
      <c r="D521" s="105">
        <v>1999</v>
      </c>
      <c r="E521" s="84" t="s">
        <v>1758</v>
      </c>
      <c r="F521" s="84" t="s">
        <v>1759</v>
      </c>
      <c r="G521" s="109" t="str">
        <f>HYPERLINK("https://www.lyellcollection.org/toc/egsp/16/1")</f>
        <v>https://www.lyellcollection.org/toc/egsp/16/1</v>
      </c>
      <c r="H521" s="110" t="s">
        <v>70</v>
      </c>
      <c r="I521" s="27" t="s">
        <v>2912</v>
      </c>
      <c r="J521" s="23" t="s">
        <v>71</v>
      </c>
      <c r="K521" s="102">
        <v>105</v>
      </c>
      <c r="L521" s="53"/>
    </row>
    <row r="522" spans="1:12" s="41" customFormat="1" ht="31.2" customHeight="1" x14ac:dyDescent="0.2">
      <c r="A522" s="111" t="s">
        <v>1760</v>
      </c>
      <c r="B522" s="107" t="s">
        <v>12</v>
      </c>
      <c r="C522" s="116" t="s">
        <v>1761</v>
      </c>
      <c r="D522" s="105">
        <v>1999</v>
      </c>
      <c r="E522" s="84" t="s">
        <v>1762</v>
      </c>
      <c r="F522" s="84" t="s">
        <v>1763</v>
      </c>
      <c r="G522" s="109" t="str">
        <f>HYPERLINK("https://www.lyellcollection.org/toc/sp/174/1")</f>
        <v>https://www.lyellcollection.org/toc/sp/174/1</v>
      </c>
      <c r="H522" s="110" t="s">
        <v>70</v>
      </c>
      <c r="I522" s="27" t="s">
        <v>2912</v>
      </c>
      <c r="J522" s="23" t="s">
        <v>71</v>
      </c>
      <c r="K522" s="102">
        <v>40</v>
      </c>
      <c r="L522" s="86" t="s">
        <v>1560</v>
      </c>
    </row>
    <row r="523" spans="1:12" s="41" customFormat="1" ht="31.2" customHeight="1" x14ac:dyDescent="0.2">
      <c r="A523" s="121" t="s">
        <v>1764</v>
      </c>
      <c r="B523" s="107" t="s">
        <v>12</v>
      </c>
      <c r="C523" s="116" t="s">
        <v>1765</v>
      </c>
      <c r="D523" s="105">
        <v>1999</v>
      </c>
      <c r="E523" s="84" t="s">
        <v>1766</v>
      </c>
      <c r="F523" s="84" t="s">
        <v>1767</v>
      </c>
      <c r="G523" s="109" t="str">
        <f>HYPERLINK("https://www.lyellcollection.org/toc/sp/169/1")</f>
        <v>https://www.lyellcollection.org/toc/sp/169/1</v>
      </c>
      <c r="H523" s="110" t="s">
        <v>70</v>
      </c>
      <c r="I523" s="27" t="s">
        <v>2912</v>
      </c>
      <c r="J523" s="23" t="s">
        <v>71</v>
      </c>
      <c r="K523" s="102">
        <v>85</v>
      </c>
      <c r="L523" s="86" t="s">
        <v>1560</v>
      </c>
    </row>
    <row r="524" spans="1:12" s="41" customFormat="1" ht="31.2" customHeight="1" x14ac:dyDescent="0.2">
      <c r="A524" s="111" t="s">
        <v>1768</v>
      </c>
      <c r="B524" s="107" t="s">
        <v>12</v>
      </c>
      <c r="C524" s="116" t="s">
        <v>1769</v>
      </c>
      <c r="D524" s="105">
        <v>1999</v>
      </c>
      <c r="E524" s="84" t="s">
        <v>1770</v>
      </c>
      <c r="F524" s="84" t="s">
        <v>1771</v>
      </c>
      <c r="G524" s="109" t="str">
        <f>HYPERLINK("https://www.lyellcollection.org/toc/sp/168/1")</f>
        <v>https://www.lyellcollection.org/toc/sp/168/1</v>
      </c>
      <c r="H524" s="110" t="s">
        <v>70</v>
      </c>
      <c r="I524" s="27" t="s">
        <v>2912</v>
      </c>
      <c r="J524" s="23" t="s">
        <v>1273</v>
      </c>
      <c r="K524" s="102">
        <v>90</v>
      </c>
      <c r="L524" s="86" t="s">
        <v>1560</v>
      </c>
    </row>
    <row r="525" spans="1:12" s="41" customFormat="1" ht="31.2" customHeight="1" x14ac:dyDescent="0.2">
      <c r="A525" s="121" t="s">
        <v>1772</v>
      </c>
      <c r="B525" s="107" t="s">
        <v>12</v>
      </c>
      <c r="C525" s="116" t="s">
        <v>1773</v>
      </c>
      <c r="D525" s="105">
        <v>1999</v>
      </c>
      <c r="E525" s="84" t="s">
        <v>1774</v>
      </c>
      <c r="F525" s="84" t="s">
        <v>1775</v>
      </c>
      <c r="G525" s="109" t="str">
        <f>HYPERLINK("https://www.lyellcollection.org/toc/sp/165/1")</f>
        <v>https://www.lyellcollection.org/toc/sp/165/1</v>
      </c>
      <c r="H525" s="110" t="s">
        <v>70</v>
      </c>
      <c r="I525" s="27" t="s">
        <v>2912</v>
      </c>
      <c r="J525" s="23" t="s">
        <v>71</v>
      </c>
      <c r="K525" s="102">
        <v>85</v>
      </c>
      <c r="L525" s="86" t="s">
        <v>1560</v>
      </c>
    </row>
    <row r="526" spans="1:12" s="41" customFormat="1" ht="31.2" customHeight="1" x14ac:dyDescent="0.2">
      <c r="A526" s="111" t="s">
        <v>1776</v>
      </c>
      <c r="B526" s="107" t="s">
        <v>12</v>
      </c>
      <c r="C526" s="116" t="s">
        <v>1777</v>
      </c>
      <c r="D526" s="105">
        <v>1999</v>
      </c>
      <c r="E526" s="84" t="s">
        <v>1778</v>
      </c>
      <c r="F526" s="84" t="s">
        <v>1779</v>
      </c>
      <c r="G526" s="109" t="str">
        <f>HYPERLINK("https://www.lyellcollection.org/toc/sp/164/1")</f>
        <v>https://www.lyellcollection.org/toc/sp/164/1</v>
      </c>
      <c r="H526" s="110" t="s">
        <v>70</v>
      </c>
      <c r="I526" s="27" t="s">
        <v>2912</v>
      </c>
      <c r="J526" s="23" t="s">
        <v>1273</v>
      </c>
      <c r="K526" s="102">
        <v>90</v>
      </c>
      <c r="L526" s="86" t="s">
        <v>1560</v>
      </c>
    </row>
    <row r="527" spans="1:12" s="41" customFormat="1" ht="31.2" customHeight="1" x14ac:dyDescent="0.2">
      <c r="A527" s="121" t="s">
        <v>1780</v>
      </c>
      <c r="B527" s="107" t="s">
        <v>12</v>
      </c>
      <c r="C527" s="116" t="s">
        <v>1781</v>
      </c>
      <c r="D527" s="105">
        <v>1999</v>
      </c>
      <c r="E527" s="84" t="s">
        <v>1782</v>
      </c>
      <c r="F527" s="84" t="s">
        <v>1783</v>
      </c>
      <c r="G527" s="109" t="str">
        <f>HYPERLINK("https://www.lyellcollection.org/toc/sp/163/1")</f>
        <v>https://www.lyellcollection.org/toc/sp/163/1</v>
      </c>
      <c r="H527" s="110" t="s">
        <v>70</v>
      </c>
      <c r="I527" s="27" t="s">
        <v>2912</v>
      </c>
      <c r="J527" s="23" t="s">
        <v>1273</v>
      </c>
      <c r="K527" s="102">
        <v>42.5</v>
      </c>
      <c r="L527" s="86" t="s">
        <v>1560</v>
      </c>
    </row>
    <row r="528" spans="1:12" s="41" customFormat="1" ht="31.2" customHeight="1" x14ac:dyDescent="0.2">
      <c r="A528" s="111" t="s">
        <v>1784</v>
      </c>
      <c r="B528" s="107" t="s">
        <v>12</v>
      </c>
      <c r="C528" s="116" t="s">
        <v>1785</v>
      </c>
      <c r="D528" s="105">
        <v>1999</v>
      </c>
      <c r="E528" s="84" t="s">
        <v>1786</v>
      </c>
      <c r="F528" s="84" t="s">
        <v>1787</v>
      </c>
      <c r="G528" s="109" t="str">
        <f>HYPERLINK("https://www.lyellcollection.org/toc/sp/162/1")</f>
        <v>https://www.lyellcollection.org/toc/sp/162/1</v>
      </c>
      <c r="H528" s="110" t="s">
        <v>70</v>
      </c>
      <c r="I528" s="27" t="s">
        <v>2912</v>
      </c>
      <c r="J528" s="23" t="s">
        <v>71</v>
      </c>
      <c r="K528" s="102">
        <v>85</v>
      </c>
      <c r="L528" s="86" t="s">
        <v>1560</v>
      </c>
    </row>
    <row r="529" spans="1:12" s="41" customFormat="1" ht="31.2" customHeight="1" x14ac:dyDescent="0.2">
      <c r="A529" s="121" t="s">
        <v>1788</v>
      </c>
      <c r="B529" s="107" t="s">
        <v>12</v>
      </c>
      <c r="C529" s="116" t="s">
        <v>1789</v>
      </c>
      <c r="D529" s="105">
        <v>1999</v>
      </c>
      <c r="E529" s="84" t="s">
        <v>1790</v>
      </c>
      <c r="F529" s="84" t="s">
        <v>1791</v>
      </c>
      <c r="G529" s="109" t="str">
        <f>HYPERLINK("https://www.lyellcollection.org/toc/sp/161/1")</f>
        <v>https://www.lyellcollection.org/toc/sp/161/1</v>
      </c>
      <c r="H529" s="110" t="s">
        <v>70</v>
      </c>
      <c r="I529" s="27" t="s">
        <v>2912</v>
      </c>
      <c r="J529" s="23" t="s">
        <v>1273</v>
      </c>
      <c r="K529" s="102">
        <v>85</v>
      </c>
      <c r="L529" s="86" t="s">
        <v>1560</v>
      </c>
    </row>
    <row r="530" spans="1:12" s="41" customFormat="1" ht="31.2" customHeight="1" x14ac:dyDescent="0.2">
      <c r="A530" s="111" t="s">
        <v>1792</v>
      </c>
      <c r="B530" s="107" t="s">
        <v>12</v>
      </c>
      <c r="C530" s="116" t="s">
        <v>1793</v>
      </c>
      <c r="D530" s="105">
        <v>1999</v>
      </c>
      <c r="E530" s="84" t="s">
        <v>1794</v>
      </c>
      <c r="F530" s="84" t="s">
        <v>1795</v>
      </c>
      <c r="G530" s="109" t="str">
        <f>HYPERLINK("https://www.lyellcollection.org/toc/sp/160/1")</f>
        <v>https://www.lyellcollection.org/toc/sp/160/1</v>
      </c>
      <c r="H530" s="110" t="s">
        <v>70</v>
      </c>
      <c r="I530" s="27" t="s">
        <v>2912</v>
      </c>
      <c r="J530" s="23" t="s">
        <v>1273</v>
      </c>
      <c r="K530" s="102">
        <v>100</v>
      </c>
      <c r="L530" s="86" t="s">
        <v>1560</v>
      </c>
    </row>
    <row r="531" spans="1:12" s="41" customFormat="1" ht="31.2" customHeight="1" x14ac:dyDescent="0.2">
      <c r="A531" s="121" t="s">
        <v>1796</v>
      </c>
      <c r="B531" s="107" t="s">
        <v>12</v>
      </c>
      <c r="C531" s="116" t="s">
        <v>1797</v>
      </c>
      <c r="D531" s="105">
        <v>1999</v>
      </c>
      <c r="E531" s="84" t="s">
        <v>1798</v>
      </c>
      <c r="F531" s="84" t="s">
        <v>1799</v>
      </c>
      <c r="G531" s="109" t="str">
        <f>HYPERLINK("https://www.lyellcollection.org/toc/sp/159/1")</f>
        <v>https://www.lyellcollection.org/toc/sp/159/1</v>
      </c>
      <c r="H531" s="110" t="s">
        <v>70</v>
      </c>
      <c r="I531" s="27" t="s">
        <v>2912</v>
      </c>
      <c r="J531" s="23" t="s">
        <v>1273</v>
      </c>
      <c r="K531" s="102">
        <v>85</v>
      </c>
      <c r="L531" s="86" t="s">
        <v>1560</v>
      </c>
    </row>
    <row r="532" spans="1:12" s="41" customFormat="1" ht="31.2" customHeight="1" x14ac:dyDescent="0.2">
      <c r="A532" s="111" t="s">
        <v>1800</v>
      </c>
      <c r="B532" s="107" t="s">
        <v>12</v>
      </c>
      <c r="C532" s="116" t="s">
        <v>1801</v>
      </c>
      <c r="D532" s="105">
        <v>1999</v>
      </c>
      <c r="E532" s="84" t="s">
        <v>1802</v>
      </c>
      <c r="F532" s="84" t="s">
        <v>1803</v>
      </c>
      <c r="G532" s="109" t="str">
        <f>HYPERLINK("https://www.lyellcollection.org/toc/sp/158/1")</f>
        <v>https://www.lyellcollection.org/toc/sp/158/1</v>
      </c>
      <c r="H532" s="110" t="s">
        <v>70</v>
      </c>
      <c r="I532" s="27" t="s">
        <v>2912</v>
      </c>
      <c r="J532" s="23" t="s">
        <v>1273</v>
      </c>
      <c r="K532" s="102">
        <v>85</v>
      </c>
      <c r="L532" s="86" t="s">
        <v>1560</v>
      </c>
    </row>
    <row r="533" spans="1:12" s="41" customFormat="1" ht="31.2" customHeight="1" x14ac:dyDescent="0.2">
      <c r="A533" s="121" t="s">
        <v>1804</v>
      </c>
      <c r="B533" s="107" t="s">
        <v>12</v>
      </c>
      <c r="C533" s="116" t="s">
        <v>1805</v>
      </c>
      <c r="D533" s="105">
        <v>1999</v>
      </c>
      <c r="E533" s="84" t="s">
        <v>1806</v>
      </c>
      <c r="F533" s="84" t="s">
        <v>1807</v>
      </c>
      <c r="G533" s="109" t="str">
        <f>HYPERLINK("https://www.lyellcollection.org/toc/sp/157/1")</f>
        <v>https://www.lyellcollection.org/toc/sp/157/1</v>
      </c>
      <c r="H533" s="110" t="s">
        <v>70</v>
      </c>
      <c r="I533" s="27" t="s">
        <v>2912</v>
      </c>
      <c r="J533" s="23" t="s">
        <v>1273</v>
      </c>
      <c r="K533" s="102">
        <v>45</v>
      </c>
      <c r="L533" s="86" t="s">
        <v>1560</v>
      </c>
    </row>
    <row r="534" spans="1:12" s="41" customFormat="1" ht="31.2" customHeight="1" x14ac:dyDescent="0.2">
      <c r="A534" s="111" t="s">
        <v>1808</v>
      </c>
      <c r="B534" s="107" t="s">
        <v>12</v>
      </c>
      <c r="C534" s="116" t="s">
        <v>1809</v>
      </c>
      <c r="D534" s="105">
        <v>1999</v>
      </c>
      <c r="E534" s="84" t="s">
        <v>1810</v>
      </c>
      <c r="F534" s="84" t="s">
        <v>1811</v>
      </c>
      <c r="G534" s="109" t="str">
        <f>HYPERLINK("https://www.lyellcollection.org/toc/sp/156/1")</f>
        <v>https://www.lyellcollection.org/toc/sp/156/1</v>
      </c>
      <c r="H534" s="110" t="s">
        <v>70</v>
      </c>
      <c r="I534" s="27" t="s">
        <v>2912</v>
      </c>
      <c r="J534" s="23" t="s">
        <v>1273</v>
      </c>
      <c r="K534" s="102">
        <v>52.5</v>
      </c>
      <c r="L534" s="86" t="s">
        <v>1560</v>
      </c>
    </row>
    <row r="535" spans="1:12" s="41" customFormat="1" ht="31.2" customHeight="1" x14ac:dyDescent="0.2">
      <c r="A535" s="121" t="s">
        <v>1812</v>
      </c>
      <c r="B535" s="107" t="s">
        <v>12</v>
      </c>
      <c r="C535" s="116" t="s">
        <v>1813</v>
      </c>
      <c r="D535" s="105">
        <v>1999</v>
      </c>
      <c r="E535" s="84" t="s">
        <v>1814</v>
      </c>
      <c r="F535" s="84" t="s">
        <v>1815</v>
      </c>
      <c r="G535" s="109" t="str">
        <f>HYPERLINK("https://www.lyellcollection.org/toc/sp/155/1")</f>
        <v>https://www.lyellcollection.org/toc/sp/155/1</v>
      </c>
      <c r="H535" s="110" t="s">
        <v>70</v>
      </c>
      <c r="I535" s="27" t="s">
        <v>2912</v>
      </c>
      <c r="J535" s="23" t="s">
        <v>1273</v>
      </c>
      <c r="K535" s="102">
        <v>90</v>
      </c>
      <c r="L535" s="86" t="s">
        <v>1560</v>
      </c>
    </row>
    <row r="536" spans="1:12" s="41" customFormat="1" ht="31.2" customHeight="1" x14ac:dyDescent="0.2">
      <c r="A536" s="111" t="s">
        <v>1816</v>
      </c>
      <c r="B536" s="107" t="s">
        <v>12</v>
      </c>
      <c r="C536" s="116" t="s">
        <v>1817</v>
      </c>
      <c r="D536" s="105">
        <v>1999</v>
      </c>
      <c r="E536" s="84" t="s">
        <v>1818</v>
      </c>
      <c r="F536" s="84" t="s">
        <v>1819</v>
      </c>
      <c r="G536" s="109" t="str">
        <f>HYPERLINK("https://www.lyellcollection.org/toc/sp/154/1")</f>
        <v>https://www.lyellcollection.org/toc/sp/154/1</v>
      </c>
      <c r="H536" s="110" t="s">
        <v>70</v>
      </c>
      <c r="I536" s="27" t="s">
        <v>2912</v>
      </c>
      <c r="J536" s="23" t="s">
        <v>1273</v>
      </c>
      <c r="K536" s="102">
        <v>105</v>
      </c>
      <c r="L536" s="86" t="s">
        <v>1560</v>
      </c>
    </row>
    <row r="537" spans="1:12" s="41" customFormat="1" ht="31.2" customHeight="1" x14ac:dyDescent="0.2">
      <c r="A537" s="121" t="s">
        <v>1820</v>
      </c>
      <c r="B537" s="107" t="s">
        <v>12</v>
      </c>
      <c r="C537" s="116" t="s">
        <v>1821</v>
      </c>
      <c r="D537" s="105">
        <v>1999</v>
      </c>
      <c r="E537" s="84" t="s">
        <v>1822</v>
      </c>
      <c r="F537" s="84" t="s">
        <v>1823</v>
      </c>
      <c r="G537" s="109" t="str">
        <f>HYPERLINK("https://www.lyellcollection.org/toc/sp/153/1")</f>
        <v>https://www.lyellcollection.org/toc/sp/153/1</v>
      </c>
      <c r="H537" s="110" t="s">
        <v>70</v>
      </c>
      <c r="I537" s="27" t="s">
        <v>2912</v>
      </c>
      <c r="J537" s="23" t="s">
        <v>1077</v>
      </c>
      <c r="K537" s="102" t="e">
        <v>#N/A</v>
      </c>
      <c r="L537" s="86" t="s">
        <v>1560</v>
      </c>
    </row>
    <row r="538" spans="1:12" s="41" customFormat="1" ht="31.2" customHeight="1" x14ac:dyDescent="0.2">
      <c r="A538" s="111" t="s">
        <v>1824</v>
      </c>
      <c r="B538" s="107" t="s">
        <v>12</v>
      </c>
      <c r="C538" s="116" t="s">
        <v>1825</v>
      </c>
      <c r="D538" s="105">
        <v>1999</v>
      </c>
      <c r="E538" s="84" t="s">
        <v>1826</v>
      </c>
      <c r="F538" s="84" t="s">
        <v>1827</v>
      </c>
      <c r="G538" s="109" t="str">
        <f>HYPERLINK("https://www.lyellcollection.org/toc/sp/152/1")</f>
        <v>https://www.lyellcollection.org/toc/sp/152/1</v>
      </c>
      <c r="H538" s="110" t="s">
        <v>70</v>
      </c>
      <c r="I538" s="27" t="s">
        <v>2912</v>
      </c>
      <c r="J538" s="23" t="s">
        <v>71</v>
      </c>
      <c r="K538" s="102">
        <v>90</v>
      </c>
      <c r="L538" s="86" t="s">
        <v>1560</v>
      </c>
    </row>
    <row r="539" spans="1:12" s="41" customFormat="1" ht="31.2" customHeight="1" x14ac:dyDescent="0.2">
      <c r="A539" s="121" t="s">
        <v>1828</v>
      </c>
      <c r="B539" s="107" t="s">
        <v>12</v>
      </c>
      <c r="C539" s="106" t="s">
        <v>1829</v>
      </c>
      <c r="D539" s="105">
        <v>1999</v>
      </c>
      <c r="E539" s="84" t="s">
        <v>1830</v>
      </c>
      <c r="F539" s="84" t="s">
        <v>1831</v>
      </c>
      <c r="G539" s="109" t="str">
        <f>HYPERLINK("https://www.lyellcollection.org/toc/sp/151/1")</f>
        <v>https://www.lyellcollection.org/toc/sp/151/1</v>
      </c>
      <c r="H539" s="110" t="s">
        <v>70</v>
      </c>
      <c r="I539" s="27" t="s">
        <v>2912</v>
      </c>
      <c r="J539" s="23" t="s">
        <v>1273</v>
      </c>
      <c r="K539" s="102">
        <v>45</v>
      </c>
      <c r="L539" s="86" t="s">
        <v>1560</v>
      </c>
    </row>
    <row r="540" spans="1:12" s="41" customFormat="1" ht="31.2" customHeight="1" x14ac:dyDescent="0.2">
      <c r="A540" s="111" t="s">
        <v>1832</v>
      </c>
      <c r="B540" s="107" t="s">
        <v>12</v>
      </c>
      <c r="C540" s="116" t="s">
        <v>1833</v>
      </c>
      <c r="D540" s="105">
        <v>1999</v>
      </c>
      <c r="E540" s="84" t="s">
        <v>1834</v>
      </c>
      <c r="F540" s="84" t="s">
        <v>1835</v>
      </c>
      <c r="G540" s="109" t="str">
        <f>HYPERLINK("https://www.lyellcollection.org/toc/sp/150/1")</f>
        <v>https://www.lyellcollection.org/toc/sp/150/1</v>
      </c>
      <c r="H540" s="110" t="s">
        <v>70</v>
      </c>
      <c r="I540" s="27" t="s">
        <v>2912</v>
      </c>
      <c r="J540" s="23" t="s">
        <v>1273</v>
      </c>
      <c r="K540" s="102">
        <v>70</v>
      </c>
      <c r="L540" s="86" t="s">
        <v>1560</v>
      </c>
    </row>
    <row r="541" spans="1:12" s="41" customFormat="1" ht="31.2" customHeight="1" x14ac:dyDescent="0.2">
      <c r="A541" s="121" t="s">
        <v>1836</v>
      </c>
      <c r="B541" s="107" t="s">
        <v>12</v>
      </c>
      <c r="C541" s="116" t="s">
        <v>1837</v>
      </c>
      <c r="D541" s="105">
        <v>1999</v>
      </c>
      <c r="E541" s="84" t="s">
        <v>1838</v>
      </c>
      <c r="F541" s="84" t="s">
        <v>1839</v>
      </c>
      <c r="G541" s="109" t="str">
        <f>HYPERLINK("https://www.lyellcollection.org/toc/sp/149/1")</f>
        <v>https://www.lyellcollection.org/toc/sp/149/1</v>
      </c>
      <c r="H541" s="110" t="s">
        <v>70</v>
      </c>
      <c r="I541" s="27" t="s">
        <v>2912</v>
      </c>
      <c r="J541" s="23" t="s">
        <v>1077</v>
      </c>
      <c r="K541" s="102" t="e">
        <v>#N/A</v>
      </c>
      <c r="L541" s="86" t="s">
        <v>1560</v>
      </c>
    </row>
    <row r="542" spans="1:12" s="41" customFormat="1" ht="31.2" customHeight="1" x14ac:dyDescent="0.2">
      <c r="A542" s="111" t="s">
        <v>1840</v>
      </c>
      <c r="B542" s="107" t="s">
        <v>12</v>
      </c>
      <c r="C542" s="116" t="s">
        <v>1841</v>
      </c>
      <c r="D542" s="105">
        <v>1999</v>
      </c>
      <c r="E542" s="84" t="s">
        <v>1842</v>
      </c>
      <c r="F542" s="84" t="s">
        <v>1843</v>
      </c>
      <c r="G542" s="109" t="str">
        <f>HYPERLINK("https://www.lyellcollection.org/toc/sp/146/1")</f>
        <v>https://www.lyellcollection.org/toc/sp/146/1</v>
      </c>
      <c r="H542" s="110" t="s">
        <v>70</v>
      </c>
      <c r="I542" s="27" t="s">
        <v>2912</v>
      </c>
      <c r="J542" s="23" t="s">
        <v>71</v>
      </c>
      <c r="K542" s="102">
        <v>47.5</v>
      </c>
      <c r="L542" s="86" t="s">
        <v>1560</v>
      </c>
    </row>
    <row r="543" spans="1:12" s="41" customFormat="1" ht="31.2" customHeight="1" x14ac:dyDescent="0.2">
      <c r="A543" s="111" t="s">
        <v>1741</v>
      </c>
      <c r="B543" s="116" t="s">
        <v>220</v>
      </c>
      <c r="C543" s="106" t="s">
        <v>1742</v>
      </c>
      <c r="D543" s="105">
        <v>1999</v>
      </c>
      <c r="E543" s="105" t="s">
        <v>14</v>
      </c>
      <c r="F543" s="105" t="s">
        <v>1743</v>
      </c>
      <c r="G543" s="112" t="s">
        <v>79</v>
      </c>
      <c r="H543" s="191"/>
      <c r="I543" s="192"/>
      <c r="J543" s="23" t="s">
        <v>1077</v>
      </c>
      <c r="K543" s="102" t="e">
        <v>#N/A</v>
      </c>
      <c r="L543" s="53"/>
    </row>
    <row r="544" spans="1:12" s="41" customFormat="1" ht="31.2" customHeight="1" x14ac:dyDescent="0.2">
      <c r="A544" s="111" t="s">
        <v>1844</v>
      </c>
      <c r="B544" s="107" t="s">
        <v>423</v>
      </c>
      <c r="C544" s="116" t="s">
        <v>1845</v>
      </c>
      <c r="D544" s="105">
        <v>1999</v>
      </c>
      <c r="E544" s="105" t="s">
        <v>1846</v>
      </c>
      <c r="F544" s="105" t="s">
        <v>1847</v>
      </c>
      <c r="G544" s="109" t="str">
        <f>HYPERLINK("https://www.lyellcollection.org/toc/pgc/5/1")</f>
        <v>https://www.lyellcollection.org/toc/pgc/5/1</v>
      </c>
      <c r="H544" s="110" t="s">
        <v>70</v>
      </c>
      <c r="I544" s="27" t="s">
        <v>2912</v>
      </c>
      <c r="J544" s="23" t="s">
        <v>1273</v>
      </c>
      <c r="K544" s="102">
        <v>150</v>
      </c>
      <c r="L544" s="53"/>
    </row>
    <row r="545" spans="1:12" s="41" customFormat="1" ht="31.2" customHeight="1" x14ac:dyDescent="0.2">
      <c r="A545" s="111" t="s">
        <v>1744</v>
      </c>
      <c r="B545" s="116" t="s">
        <v>220</v>
      </c>
      <c r="C545" s="116" t="s">
        <v>1745</v>
      </c>
      <c r="D545" s="105">
        <v>1999</v>
      </c>
      <c r="E545" s="105" t="s">
        <v>1746</v>
      </c>
      <c r="F545" s="105" t="s">
        <v>1747</v>
      </c>
      <c r="G545" s="112" t="s">
        <v>79</v>
      </c>
      <c r="H545" s="191"/>
      <c r="I545" s="192"/>
      <c r="J545" s="23" t="s">
        <v>71</v>
      </c>
      <c r="K545" s="102">
        <v>90</v>
      </c>
      <c r="L545" s="53"/>
    </row>
    <row r="546" spans="1:12" s="41" customFormat="1" ht="31.2" customHeight="1" x14ac:dyDescent="0.2">
      <c r="A546" s="111" t="s">
        <v>1748</v>
      </c>
      <c r="B546" s="116" t="s">
        <v>220</v>
      </c>
      <c r="C546" s="116" t="s">
        <v>1749</v>
      </c>
      <c r="D546" s="105">
        <v>1999</v>
      </c>
      <c r="E546" s="105" t="s">
        <v>1750</v>
      </c>
      <c r="F546" s="105" t="s">
        <v>1751</v>
      </c>
      <c r="G546" s="112" t="s">
        <v>79</v>
      </c>
      <c r="H546" s="191"/>
      <c r="I546" s="192"/>
      <c r="J546" s="23" t="s">
        <v>1077</v>
      </c>
      <c r="K546" s="102" t="e">
        <v>#N/A</v>
      </c>
      <c r="L546" s="53"/>
    </row>
    <row r="547" spans="1:12" s="41" customFormat="1" ht="31.2" customHeight="1" x14ac:dyDescent="0.2">
      <c r="A547" s="111" t="s">
        <v>1848</v>
      </c>
      <c r="B547" s="113" t="s">
        <v>39</v>
      </c>
      <c r="C547" s="116" t="s">
        <v>1849</v>
      </c>
      <c r="D547" s="105">
        <v>1999</v>
      </c>
      <c r="E547" s="84" t="s">
        <v>1850</v>
      </c>
      <c r="F547" s="84" t="s">
        <v>1851</v>
      </c>
      <c r="G547" s="109" t="str">
        <f>HYPERLINK("https://www.lyellcollection.org/toc/mem/19/1")</f>
        <v>https://www.lyellcollection.org/toc/mem/19/1</v>
      </c>
      <c r="H547" s="110" t="s">
        <v>70</v>
      </c>
      <c r="I547" s="27" t="s">
        <v>2912</v>
      </c>
      <c r="J547" s="23" t="s">
        <v>1077</v>
      </c>
      <c r="K547" s="102" t="e">
        <v>#N/A</v>
      </c>
      <c r="L547" s="53"/>
    </row>
    <row r="548" spans="1:12" s="41" customFormat="1" ht="31.2" customHeight="1" x14ac:dyDescent="0.2">
      <c r="A548" s="121" t="s">
        <v>1852</v>
      </c>
      <c r="B548" s="113" t="s">
        <v>39</v>
      </c>
      <c r="C548" s="116" t="s">
        <v>1853</v>
      </c>
      <c r="D548" s="105">
        <v>1999</v>
      </c>
      <c r="E548" s="84" t="s">
        <v>1854</v>
      </c>
      <c r="F548" s="84" t="s">
        <v>1855</v>
      </c>
      <c r="G548" s="109" t="str">
        <f>HYPERLINK("https://www.lyellcollection.org/toc/mem/18/1")</f>
        <v>https://www.lyellcollection.org/toc/mem/18/1</v>
      </c>
      <c r="H548" s="110" t="s">
        <v>70</v>
      </c>
      <c r="I548" s="27" t="s">
        <v>2912</v>
      </c>
      <c r="J548" s="23" t="s">
        <v>1273</v>
      </c>
      <c r="K548" s="102">
        <v>60</v>
      </c>
      <c r="L548" s="53"/>
    </row>
    <row r="549" spans="1:12" s="41" customFormat="1" ht="31.2" customHeight="1" x14ac:dyDescent="0.2">
      <c r="A549" s="111" t="s">
        <v>1752</v>
      </c>
      <c r="B549" s="116" t="s">
        <v>220</v>
      </c>
      <c r="C549" s="116" t="s">
        <v>1753</v>
      </c>
      <c r="D549" s="105">
        <v>1999</v>
      </c>
      <c r="E549" s="105" t="s">
        <v>1754</v>
      </c>
      <c r="F549" s="105" t="s">
        <v>1755</v>
      </c>
      <c r="G549" s="112" t="s">
        <v>79</v>
      </c>
      <c r="H549" s="191"/>
      <c r="I549" s="192"/>
      <c r="J549" s="23" t="s">
        <v>71</v>
      </c>
      <c r="K549" s="102">
        <v>85</v>
      </c>
      <c r="L549" s="53"/>
    </row>
    <row r="550" spans="1:12" s="41" customFormat="1" ht="31.2" customHeight="1" x14ac:dyDescent="0.2">
      <c r="A550" s="111" t="s">
        <v>1864</v>
      </c>
      <c r="B550" s="107" t="s">
        <v>43</v>
      </c>
      <c r="C550" s="116" t="s">
        <v>1865</v>
      </c>
      <c r="D550" s="105">
        <v>1998</v>
      </c>
      <c r="E550" s="84" t="s">
        <v>1866</v>
      </c>
      <c r="F550" s="84" t="s">
        <v>1867</v>
      </c>
      <c r="G550" s="109" t="str">
        <f>HYPERLINK("https://www.lyellcollection.org/toc/egsp/15/1")</f>
        <v>https://www.lyellcollection.org/toc/egsp/15/1</v>
      </c>
      <c r="H550" s="110" t="s">
        <v>70</v>
      </c>
      <c r="I550" s="27" t="s">
        <v>2912</v>
      </c>
      <c r="J550" s="23" t="s">
        <v>1077</v>
      </c>
      <c r="K550" s="102" t="e">
        <v>#N/A</v>
      </c>
      <c r="L550" s="53"/>
    </row>
    <row r="551" spans="1:12" s="41" customFormat="1" ht="31.2" customHeight="1" x14ac:dyDescent="0.2">
      <c r="A551" s="111" t="s">
        <v>1868</v>
      </c>
      <c r="B551" s="107" t="s">
        <v>43</v>
      </c>
      <c r="C551" s="106" t="s">
        <v>1869</v>
      </c>
      <c r="D551" s="105">
        <v>1998</v>
      </c>
      <c r="E551" s="84" t="s">
        <v>1870</v>
      </c>
      <c r="F551" s="84" t="s">
        <v>1871</v>
      </c>
      <c r="G551" s="109" t="str">
        <f>HYPERLINK("https://www.lyellcollection.org/toc/egsp/14/1")</f>
        <v>https://www.lyellcollection.org/toc/egsp/14/1</v>
      </c>
      <c r="H551" s="110" t="s">
        <v>70</v>
      </c>
      <c r="I551" s="27" t="s">
        <v>2912</v>
      </c>
      <c r="J551" s="23" t="s">
        <v>1077</v>
      </c>
      <c r="K551" s="102" t="e">
        <v>#N/A</v>
      </c>
      <c r="L551" s="53"/>
    </row>
    <row r="552" spans="1:12" s="41" customFormat="1" ht="31.2" customHeight="1" x14ac:dyDescent="0.2">
      <c r="A552" s="111" t="s">
        <v>1872</v>
      </c>
      <c r="B552" s="107" t="s">
        <v>43</v>
      </c>
      <c r="C552" s="106" t="s">
        <v>1873</v>
      </c>
      <c r="D552" s="105">
        <v>1998</v>
      </c>
      <c r="E552" s="84" t="s">
        <v>1874</v>
      </c>
      <c r="F552" s="84" t="s">
        <v>1875</v>
      </c>
      <c r="G552" s="109" t="str">
        <f>HYPERLINK("https://www.lyellcollection.org/toc/egsp/13/1")</f>
        <v>https://www.lyellcollection.org/toc/egsp/13/1</v>
      </c>
      <c r="H552" s="110" t="s">
        <v>70</v>
      </c>
      <c r="I552" s="27" t="s">
        <v>2912</v>
      </c>
      <c r="J552" s="23" t="s">
        <v>71</v>
      </c>
      <c r="K552" s="102">
        <v>40</v>
      </c>
      <c r="L552" s="53"/>
    </row>
    <row r="553" spans="1:12" s="41" customFormat="1" ht="31.2" customHeight="1" x14ac:dyDescent="0.2">
      <c r="A553" s="111" t="s">
        <v>1876</v>
      </c>
      <c r="B553" s="107" t="s">
        <v>12</v>
      </c>
      <c r="C553" s="116" t="s">
        <v>1877</v>
      </c>
      <c r="D553" s="105">
        <v>1998</v>
      </c>
      <c r="E553" s="84" t="s">
        <v>1878</v>
      </c>
      <c r="F553" s="84" t="s">
        <v>1879</v>
      </c>
      <c r="G553" s="109" t="str">
        <f>HYPERLINK("https://www.lyellcollection.org/toc/sp/148/1")</f>
        <v>https://www.lyellcollection.org/toc/sp/148/1</v>
      </c>
      <c r="H553" s="110" t="s">
        <v>70</v>
      </c>
      <c r="I553" s="27" t="s">
        <v>2912</v>
      </c>
      <c r="J553" s="23" t="s">
        <v>71</v>
      </c>
      <c r="K553" s="102">
        <v>45</v>
      </c>
      <c r="L553" s="86" t="s">
        <v>1560</v>
      </c>
    </row>
    <row r="554" spans="1:12" s="41" customFormat="1" ht="31.2" customHeight="1" x14ac:dyDescent="0.2">
      <c r="A554" s="121" t="s">
        <v>1880</v>
      </c>
      <c r="B554" s="107" t="s">
        <v>12</v>
      </c>
      <c r="C554" s="116" t="s">
        <v>1881</v>
      </c>
      <c r="D554" s="105">
        <v>1998</v>
      </c>
      <c r="E554" s="84" t="s">
        <v>1882</v>
      </c>
      <c r="F554" s="84" t="s">
        <v>1883</v>
      </c>
      <c r="G554" s="109" t="str">
        <f>HYPERLINK("https://www.lyellcollection.org/toc/sp/147/1")</f>
        <v>https://www.lyellcollection.org/toc/sp/147/1</v>
      </c>
      <c r="H554" s="110" t="s">
        <v>70</v>
      </c>
      <c r="I554" s="27" t="s">
        <v>2912</v>
      </c>
      <c r="J554" s="23" t="s">
        <v>1077</v>
      </c>
      <c r="K554" s="102" t="e">
        <v>#N/A</v>
      </c>
      <c r="L554" s="86" t="s">
        <v>1560</v>
      </c>
    </row>
    <row r="555" spans="1:12" s="41" customFormat="1" ht="31.2" customHeight="1" x14ac:dyDescent="0.2">
      <c r="A555" s="111" t="s">
        <v>1884</v>
      </c>
      <c r="B555" s="107" t="s">
        <v>12</v>
      </c>
      <c r="C555" s="116" t="s">
        <v>1885</v>
      </c>
      <c r="D555" s="105">
        <v>1998</v>
      </c>
      <c r="E555" s="84" t="s">
        <v>1886</v>
      </c>
      <c r="F555" s="84" t="s">
        <v>1887</v>
      </c>
      <c r="G555" s="109" t="str">
        <f>HYPERLINK("https://www.lyellcollection.org/toc/sp/144/1")</f>
        <v>https://www.lyellcollection.org/toc/sp/144/1</v>
      </c>
      <c r="H555" s="110" t="s">
        <v>70</v>
      </c>
      <c r="I555" s="27" t="s">
        <v>2912</v>
      </c>
      <c r="J555" s="23" t="s">
        <v>71</v>
      </c>
      <c r="K555" s="102">
        <v>90</v>
      </c>
      <c r="L555" s="86" t="s">
        <v>1560</v>
      </c>
    </row>
    <row r="556" spans="1:12" s="41" customFormat="1" ht="31.2" customHeight="1" x14ac:dyDescent="0.2">
      <c r="A556" s="121" t="s">
        <v>1888</v>
      </c>
      <c r="B556" s="107" t="s">
        <v>12</v>
      </c>
      <c r="C556" s="116" t="s">
        <v>1889</v>
      </c>
      <c r="D556" s="105">
        <v>1998</v>
      </c>
      <c r="E556" s="84" t="s">
        <v>1890</v>
      </c>
      <c r="F556" s="84" t="s">
        <v>1891</v>
      </c>
      <c r="G556" s="109" t="str">
        <f>HYPERLINK("https://www.lyellcollection.org/toc/sp/143/1")</f>
        <v>https://www.lyellcollection.org/toc/sp/143/1</v>
      </c>
      <c r="H556" s="110" t="s">
        <v>70</v>
      </c>
      <c r="I556" s="27" t="s">
        <v>2912</v>
      </c>
      <c r="J556" s="23" t="s">
        <v>1077</v>
      </c>
      <c r="K556" s="102" t="e">
        <v>#N/A</v>
      </c>
      <c r="L556" s="86" t="s">
        <v>1560</v>
      </c>
    </row>
    <row r="557" spans="1:12" s="41" customFormat="1" ht="31.2" customHeight="1" x14ac:dyDescent="0.2">
      <c r="A557" s="111" t="s">
        <v>1892</v>
      </c>
      <c r="B557" s="107" t="s">
        <v>12</v>
      </c>
      <c r="C557" s="116" t="s">
        <v>1893</v>
      </c>
      <c r="D557" s="105">
        <v>1998</v>
      </c>
      <c r="E557" s="84" t="s">
        <v>1894</v>
      </c>
      <c r="F557" s="84" t="s">
        <v>1895</v>
      </c>
      <c r="G557" s="109" t="str">
        <f>HYPERLINK("https://www.lyellcollection.org/toc/sp/142/1")</f>
        <v>https://www.lyellcollection.org/toc/sp/142/1</v>
      </c>
      <c r="H557" s="110" t="s">
        <v>70</v>
      </c>
      <c r="I557" s="27" t="s">
        <v>2912</v>
      </c>
      <c r="J557" s="23" t="s">
        <v>1273</v>
      </c>
      <c r="K557" s="102">
        <v>47.5</v>
      </c>
      <c r="L557" s="86" t="s">
        <v>1560</v>
      </c>
    </row>
    <row r="558" spans="1:12" s="41" customFormat="1" ht="31.2" customHeight="1" x14ac:dyDescent="0.2">
      <c r="A558" s="121" t="s">
        <v>1896</v>
      </c>
      <c r="B558" s="107" t="s">
        <v>12</v>
      </c>
      <c r="C558" s="116" t="s">
        <v>1897</v>
      </c>
      <c r="D558" s="105">
        <v>1998</v>
      </c>
      <c r="E558" s="84" t="s">
        <v>1898</v>
      </c>
      <c r="F558" s="84" t="s">
        <v>1899</v>
      </c>
      <c r="G558" s="109" t="str">
        <f>HYPERLINK("https://www.lyellcollection.org/toc/sp/141/1")</f>
        <v>https://www.lyellcollection.org/toc/sp/141/1</v>
      </c>
      <c r="H558" s="110" t="s">
        <v>70</v>
      </c>
      <c r="I558" s="27" t="s">
        <v>2912</v>
      </c>
      <c r="J558" s="23" t="s">
        <v>1077</v>
      </c>
      <c r="K558" s="102" t="e">
        <v>#N/A</v>
      </c>
      <c r="L558" s="86" t="s">
        <v>1560</v>
      </c>
    </row>
    <row r="559" spans="1:12" s="41" customFormat="1" ht="31.2" customHeight="1" x14ac:dyDescent="0.2">
      <c r="A559" s="111" t="s">
        <v>1900</v>
      </c>
      <c r="B559" s="107" t="s">
        <v>12</v>
      </c>
      <c r="C559" s="116" t="s">
        <v>1901</v>
      </c>
      <c r="D559" s="105">
        <v>1998</v>
      </c>
      <c r="E559" s="84" t="s">
        <v>1902</v>
      </c>
      <c r="F559" s="84" t="s">
        <v>1903</v>
      </c>
      <c r="G559" s="109" t="str">
        <f>HYPERLINK("https://www.lyellcollection.org/toc/sp/140/1")</f>
        <v>https://www.lyellcollection.org/toc/sp/140/1</v>
      </c>
      <c r="H559" s="110" t="s">
        <v>70</v>
      </c>
      <c r="I559" s="27" t="s">
        <v>2912</v>
      </c>
      <c r="J559" s="23" t="s">
        <v>71</v>
      </c>
      <c r="K559" s="102">
        <v>100</v>
      </c>
      <c r="L559" s="86" t="s">
        <v>1560</v>
      </c>
    </row>
    <row r="560" spans="1:12" s="41" customFormat="1" ht="31.2" customHeight="1" x14ac:dyDescent="0.2">
      <c r="A560" s="121" t="s">
        <v>1904</v>
      </c>
      <c r="B560" s="107" t="s">
        <v>12</v>
      </c>
      <c r="C560" s="116" t="s">
        <v>1905</v>
      </c>
      <c r="D560" s="105">
        <v>1998</v>
      </c>
      <c r="E560" s="84" t="s">
        <v>1906</v>
      </c>
      <c r="F560" s="84" t="s">
        <v>1907</v>
      </c>
      <c r="G560" s="109" t="str">
        <f>HYPERLINK("https://www.lyellcollection.org/toc/sp/139/1")</f>
        <v>https://www.lyellcollection.org/toc/sp/139/1</v>
      </c>
      <c r="H560" s="110" t="s">
        <v>70</v>
      </c>
      <c r="I560" s="27" t="s">
        <v>2912</v>
      </c>
      <c r="J560" s="23" t="s">
        <v>1273</v>
      </c>
      <c r="K560" s="102">
        <v>100</v>
      </c>
      <c r="L560" s="86" t="s">
        <v>1560</v>
      </c>
    </row>
    <row r="561" spans="1:12" s="41" customFormat="1" ht="31.2" customHeight="1" x14ac:dyDescent="0.2">
      <c r="A561" s="111" t="s">
        <v>1908</v>
      </c>
      <c r="B561" s="107" t="s">
        <v>12</v>
      </c>
      <c r="C561" s="116" t="s">
        <v>1909</v>
      </c>
      <c r="D561" s="105">
        <v>1998</v>
      </c>
      <c r="E561" s="84" t="s">
        <v>1910</v>
      </c>
      <c r="F561" s="84" t="s">
        <v>1911</v>
      </c>
      <c r="G561" s="109" t="str">
        <f>HYPERLINK("https://www.lyellcollection.org/toc/sp/138/1")</f>
        <v>https://www.lyellcollection.org/toc/sp/138/1</v>
      </c>
      <c r="H561" s="110" t="s">
        <v>70</v>
      </c>
      <c r="I561" s="27" t="s">
        <v>2912</v>
      </c>
      <c r="J561" s="23" t="s">
        <v>1273</v>
      </c>
      <c r="K561" s="102"/>
      <c r="L561" s="86" t="s">
        <v>1560</v>
      </c>
    </row>
    <row r="562" spans="1:12" s="41" customFormat="1" ht="31.2" customHeight="1" x14ac:dyDescent="0.2">
      <c r="A562" s="121" t="s">
        <v>1912</v>
      </c>
      <c r="B562" s="107" t="s">
        <v>12</v>
      </c>
      <c r="C562" s="116" t="s">
        <v>1913</v>
      </c>
      <c r="D562" s="105">
        <v>1998</v>
      </c>
      <c r="E562" s="84" t="s">
        <v>1914</v>
      </c>
      <c r="F562" s="84" t="s">
        <v>1915</v>
      </c>
      <c r="G562" s="109" t="str">
        <f>HYPERLINK("https://www.lyellcollection.org/toc/sp/137/1")</f>
        <v>https://www.lyellcollection.org/toc/sp/137/1</v>
      </c>
      <c r="H562" s="110" t="s">
        <v>70</v>
      </c>
      <c r="I562" s="27" t="s">
        <v>2912</v>
      </c>
      <c r="J562" s="23" t="s">
        <v>71</v>
      </c>
      <c r="K562" s="102">
        <v>100</v>
      </c>
      <c r="L562" s="86" t="s">
        <v>1560</v>
      </c>
    </row>
    <row r="563" spans="1:12" s="41" customFormat="1" ht="31.2" customHeight="1" x14ac:dyDescent="0.2">
      <c r="A563" s="111" t="s">
        <v>1916</v>
      </c>
      <c r="B563" s="107" t="s">
        <v>12</v>
      </c>
      <c r="C563" s="116" t="s">
        <v>1917</v>
      </c>
      <c r="D563" s="105">
        <v>1998</v>
      </c>
      <c r="E563" s="84" t="s">
        <v>1918</v>
      </c>
      <c r="F563" s="84" t="s">
        <v>1919</v>
      </c>
      <c r="G563" s="109" t="str">
        <f>HYPERLINK("https://www.lyellcollection.org/toc/sp/136/1")</f>
        <v>https://www.lyellcollection.org/toc/sp/136/1</v>
      </c>
      <c r="H563" s="110" t="s">
        <v>70</v>
      </c>
      <c r="I563" s="27" t="s">
        <v>2912</v>
      </c>
      <c r="J563" s="23" t="s">
        <v>1077</v>
      </c>
      <c r="K563" s="102" t="e">
        <v>#N/A</v>
      </c>
      <c r="L563" s="86" t="s">
        <v>1560</v>
      </c>
    </row>
    <row r="564" spans="1:12" s="41" customFormat="1" ht="31.2" customHeight="1" x14ac:dyDescent="0.2">
      <c r="A564" s="121" t="s">
        <v>1920</v>
      </c>
      <c r="B564" s="107" t="s">
        <v>12</v>
      </c>
      <c r="C564" s="116" t="s">
        <v>1921</v>
      </c>
      <c r="D564" s="105">
        <v>1998</v>
      </c>
      <c r="E564" s="84" t="s">
        <v>1922</v>
      </c>
      <c r="F564" s="84" t="s">
        <v>1923</v>
      </c>
      <c r="G564" s="109" t="str">
        <f>HYPERLINK("https://www.lyellcollection.org/toc/sp/135/1")</f>
        <v>https://www.lyellcollection.org/toc/sp/135/1</v>
      </c>
      <c r="H564" s="110" t="s">
        <v>70</v>
      </c>
      <c r="I564" s="27" t="s">
        <v>2912</v>
      </c>
      <c r="J564" s="23" t="s">
        <v>1077</v>
      </c>
      <c r="K564" s="102" t="e">
        <v>#N/A</v>
      </c>
      <c r="L564" s="86" t="s">
        <v>1560</v>
      </c>
    </row>
    <row r="565" spans="1:12" s="41" customFormat="1" ht="31.2" customHeight="1" x14ac:dyDescent="0.2">
      <c r="A565" s="111" t="s">
        <v>1924</v>
      </c>
      <c r="B565" s="107" t="s">
        <v>12</v>
      </c>
      <c r="C565" s="116" t="s">
        <v>1925</v>
      </c>
      <c r="D565" s="105">
        <v>1998</v>
      </c>
      <c r="E565" s="84" t="s">
        <v>1926</v>
      </c>
      <c r="F565" s="84" t="s">
        <v>1927</v>
      </c>
      <c r="G565" s="109" t="str">
        <f>HYPERLINK("https://www.lyellcollection.org/toc/sp/134/1")</f>
        <v>https://www.lyellcollection.org/toc/sp/134/1</v>
      </c>
      <c r="H565" s="110" t="s">
        <v>70</v>
      </c>
      <c r="I565" s="27" t="s">
        <v>2912</v>
      </c>
      <c r="J565" s="23" t="s">
        <v>1273</v>
      </c>
      <c r="K565" s="102">
        <v>90</v>
      </c>
      <c r="L565" s="86" t="s">
        <v>1560</v>
      </c>
    </row>
    <row r="566" spans="1:12" s="41" customFormat="1" ht="31.2" customHeight="1" x14ac:dyDescent="0.2">
      <c r="A566" s="121" t="s">
        <v>1928</v>
      </c>
      <c r="B566" s="107" t="s">
        <v>12</v>
      </c>
      <c r="C566" s="116" t="s">
        <v>1929</v>
      </c>
      <c r="D566" s="105">
        <v>1998</v>
      </c>
      <c r="E566" s="132" t="s">
        <v>1930</v>
      </c>
      <c r="F566" s="125" t="s">
        <v>1931</v>
      </c>
      <c r="G566" s="109" t="str">
        <f>HYPERLINK("https://www.lyellcollection.org/toc/sp/133/1")</f>
        <v>https://www.lyellcollection.org/toc/sp/133/1</v>
      </c>
      <c r="H566" s="110" t="s">
        <v>70</v>
      </c>
      <c r="I566" s="27" t="s">
        <v>2912</v>
      </c>
      <c r="J566" s="23" t="s">
        <v>1077</v>
      </c>
      <c r="K566" s="102" t="e">
        <v>#N/A</v>
      </c>
      <c r="L566" s="86" t="s">
        <v>1560</v>
      </c>
    </row>
    <row r="567" spans="1:12" s="41" customFormat="1" ht="31.2" customHeight="1" x14ac:dyDescent="0.2">
      <c r="A567" s="111" t="s">
        <v>1932</v>
      </c>
      <c r="B567" s="107" t="s">
        <v>12</v>
      </c>
      <c r="C567" s="116" t="s">
        <v>1933</v>
      </c>
      <c r="D567" s="105">
        <v>1998</v>
      </c>
      <c r="E567" s="84" t="s">
        <v>1934</v>
      </c>
      <c r="F567" s="84" t="s">
        <v>1935</v>
      </c>
      <c r="G567" s="109" t="str">
        <f>HYPERLINK("https://www.lyellcollection.org/toc/sp/132/1")</f>
        <v>https://www.lyellcollection.org/toc/sp/132/1</v>
      </c>
      <c r="H567" s="110" t="s">
        <v>70</v>
      </c>
      <c r="I567" s="27" t="s">
        <v>2912</v>
      </c>
      <c r="J567" s="23" t="s">
        <v>1077</v>
      </c>
      <c r="K567" s="102" t="e">
        <v>#N/A</v>
      </c>
      <c r="L567" s="86" t="s">
        <v>1560</v>
      </c>
    </row>
    <row r="568" spans="1:12" s="41" customFormat="1" ht="31.2" customHeight="1" x14ac:dyDescent="0.2">
      <c r="A568" s="121" t="s">
        <v>1936</v>
      </c>
      <c r="B568" s="107" t="s">
        <v>12</v>
      </c>
      <c r="C568" s="116" t="s">
        <v>1937</v>
      </c>
      <c r="D568" s="105">
        <v>1998</v>
      </c>
      <c r="E568" s="84" t="s">
        <v>1938</v>
      </c>
      <c r="F568" s="84" t="s">
        <v>1939</v>
      </c>
      <c r="G568" s="109" t="str">
        <f>HYPERLINK("https://www.lyellcollection.org/toc/sp/131/1")</f>
        <v>https://www.lyellcollection.org/toc/sp/131/1</v>
      </c>
      <c r="H568" s="110" t="s">
        <v>70</v>
      </c>
      <c r="I568" s="27" t="s">
        <v>2912</v>
      </c>
      <c r="J568" s="23" t="s">
        <v>1273</v>
      </c>
      <c r="K568" s="102">
        <v>90</v>
      </c>
      <c r="L568" s="86" t="s">
        <v>1560</v>
      </c>
    </row>
    <row r="569" spans="1:12" s="41" customFormat="1" ht="31.2" customHeight="1" x14ac:dyDescent="0.2">
      <c r="A569" s="111" t="s">
        <v>1940</v>
      </c>
      <c r="B569" s="107" t="s">
        <v>12</v>
      </c>
      <c r="C569" s="116" t="s">
        <v>1941</v>
      </c>
      <c r="D569" s="105">
        <v>1998</v>
      </c>
      <c r="E569" s="132" t="s">
        <v>1942</v>
      </c>
      <c r="F569" s="125" t="s">
        <v>1943</v>
      </c>
      <c r="G569" s="109" t="str">
        <f>HYPERLINK("https://www.lyellcollection.org/toc/sp/130/1")</f>
        <v>https://www.lyellcollection.org/toc/sp/130/1</v>
      </c>
      <c r="H569" s="110" t="s">
        <v>70</v>
      </c>
      <c r="I569" s="27" t="s">
        <v>2912</v>
      </c>
      <c r="J569" s="23" t="s">
        <v>1273</v>
      </c>
      <c r="K569" s="102">
        <v>80</v>
      </c>
      <c r="L569" s="86" t="s">
        <v>1560</v>
      </c>
    </row>
    <row r="570" spans="1:12" s="41" customFormat="1" ht="31.2" customHeight="1" x14ac:dyDescent="0.2">
      <c r="A570" s="121" t="s">
        <v>1944</v>
      </c>
      <c r="B570" s="107" t="s">
        <v>12</v>
      </c>
      <c r="C570" s="116" t="s">
        <v>1945</v>
      </c>
      <c r="D570" s="105">
        <v>1998</v>
      </c>
      <c r="E570" s="132" t="s">
        <v>1946</v>
      </c>
      <c r="F570" s="125" t="s">
        <v>1947</v>
      </c>
      <c r="G570" s="109" t="str">
        <f>HYPERLINK("https://www.lyellcollection.org/toc/sp/129/1")</f>
        <v>https://www.lyellcollection.org/toc/sp/129/1</v>
      </c>
      <c r="H570" s="110" t="s">
        <v>70</v>
      </c>
      <c r="I570" s="27" t="s">
        <v>2912</v>
      </c>
      <c r="J570" s="23" t="s">
        <v>1273</v>
      </c>
      <c r="K570" s="102">
        <v>90</v>
      </c>
      <c r="L570" s="86" t="s">
        <v>1560</v>
      </c>
    </row>
    <row r="571" spans="1:12" s="41" customFormat="1" ht="31.2" customHeight="1" x14ac:dyDescent="0.2">
      <c r="A571" s="111" t="s">
        <v>1948</v>
      </c>
      <c r="B571" s="107" t="s">
        <v>12</v>
      </c>
      <c r="C571" s="116" t="s">
        <v>1949</v>
      </c>
      <c r="D571" s="105">
        <v>1998</v>
      </c>
      <c r="E571" s="132" t="s">
        <v>1950</v>
      </c>
      <c r="F571" s="125" t="s">
        <v>1951</v>
      </c>
      <c r="G571" s="109" t="str">
        <f>HYPERLINK("https://www.lyellcollection.org/toc/sp/128/1")</f>
        <v>https://www.lyellcollection.org/toc/sp/128/1</v>
      </c>
      <c r="H571" s="110" t="s">
        <v>70</v>
      </c>
      <c r="I571" s="27" t="s">
        <v>2912</v>
      </c>
      <c r="J571" s="23" t="s">
        <v>1273</v>
      </c>
      <c r="K571" s="102" t="e">
        <v>#N/A</v>
      </c>
      <c r="L571" s="86" t="s">
        <v>1560</v>
      </c>
    </row>
    <row r="572" spans="1:12" s="41" customFormat="1" ht="31.2" customHeight="1" x14ac:dyDescent="0.2">
      <c r="A572" s="121" t="s">
        <v>1952</v>
      </c>
      <c r="B572" s="107" t="s">
        <v>12</v>
      </c>
      <c r="C572" s="116" t="s">
        <v>1953</v>
      </c>
      <c r="D572" s="105">
        <v>1998</v>
      </c>
      <c r="E572" s="132" t="s">
        <v>1954</v>
      </c>
      <c r="F572" s="125" t="s">
        <v>1955</v>
      </c>
      <c r="G572" s="109" t="str">
        <f>HYPERLINK("https://www.lyellcollection.org/toc/sp/127/1")</f>
        <v>https://www.lyellcollection.org/toc/sp/127/1</v>
      </c>
      <c r="H572" s="110" t="s">
        <v>70</v>
      </c>
      <c r="I572" s="27" t="s">
        <v>2912</v>
      </c>
      <c r="J572" s="23" t="s">
        <v>1077</v>
      </c>
      <c r="K572" s="102" t="e">
        <v>#N/A</v>
      </c>
      <c r="L572" s="86" t="s">
        <v>1560</v>
      </c>
    </row>
    <row r="573" spans="1:12" s="41" customFormat="1" ht="31.2" customHeight="1" x14ac:dyDescent="0.2">
      <c r="A573" s="111" t="s">
        <v>1856</v>
      </c>
      <c r="B573" s="116" t="s">
        <v>220</v>
      </c>
      <c r="C573" s="116" t="s">
        <v>1857</v>
      </c>
      <c r="D573" s="105">
        <v>1998</v>
      </c>
      <c r="E573" s="105" t="s">
        <v>1858</v>
      </c>
      <c r="F573" s="105" t="s">
        <v>1859</v>
      </c>
      <c r="G573" s="112" t="s">
        <v>79</v>
      </c>
      <c r="H573" s="191"/>
      <c r="I573" s="192"/>
      <c r="J573" s="23" t="s">
        <v>1273</v>
      </c>
      <c r="K573" s="102">
        <v>90</v>
      </c>
      <c r="L573" s="53"/>
    </row>
    <row r="574" spans="1:12" s="41" customFormat="1" ht="31.2" customHeight="1" x14ac:dyDescent="0.2">
      <c r="A574" s="111" t="s">
        <v>1860</v>
      </c>
      <c r="B574" s="116" t="s">
        <v>220</v>
      </c>
      <c r="C574" s="116" t="s">
        <v>1861</v>
      </c>
      <c r="D574" s="105">
        <v>1998</v>
      </c>
      <c r="E574" s="105" t="s">
        <v>1862</v>
      </c>
      <c r="F574" s="105" t="s">
        <v>1863</v>
      </c>
      <c r="G574" s="112" t="s">
        <v>79</v>
      </c>
      <c r="H574" s="191"/>
      <c r="I574" s="192"/>
      <c r="J574" s="23" t="s">
        <v>1273</v>
      </c>
      <c r="K574" s="102">
        <v>80</v>
      </c>
      <c r="L574" s="53"/>
    </row>
    <row r="575" spans="1:12" s="41" customFormat="1" ht="31.2" customHeight="1" x14ac:dyDescent="0.2">
      <c r="A575" s="111" t="s">
        <v>1972</v>
      </c>
      <c r="B575" s="107" t="s">
        <v>43</v>
      </c>
      <c r="C575" s="106" t="s">
        <v>1973</v>
      </c>
      <c r="D575" s="105">
        <v>1997</v>
      </c>
      <c r="E575" s="84" t="s">
        <v>1974</v>
      </c>
      <c r="F575" s="84" t="s">
        <v>1975</v>
      </c>
      <c r="G575" s="109" t="str">
        <f>HYPERLINK("https://www.lyellcollection.org/toc/egsp/12/1")</f>
        <v>https://www.lyellcollection.org/toc/egsp/12/1</v>
      </c>
      <c r="H575" s="110" t="s">
        <v>70</v>
      </c>
      <c r="I575" s="27" t="s">
        <v>2912</v>
      </c>
      <c r="J575" s="23" t="s">
        <v>1273</v>
      </c>
      <c r="K575" s="102" t="e">
        <v>#N/A</v>
      </c>
      <c r="L575" s="53"/>
    </row>
    <row r="576" spans="1:12" s="41" customFormat="1" ht="31.2" customHeight="1" x14ac:dyDescent="0.2">
      <c r="A576" s="111" t="s">
        <v>1976</v>
      </c>
      <c r="B576" s="107" t="s">
        <v>12</v>
      </c>
      <c r="C576" s="116" t="s">
        <v>1977</v>
      </c>
      <c r="D576" s="105">
        <v>1997</v>
      </c>
      <c r="E576" s="132" t="s">
        <v>1978</v>
      </c>
      <c r="F576" s="125" t="s">
        <v>1979</v>
      </c>
      <c r="G576" s="109" t="str">
        <f>HYPERLINK("https://www.lyellcollection.org/toc/sp/126/1")</f>
        <v>https://www.lyellcollection.org/toc/sp/126/1</v>
      </c>
      <c r="H576" s="110" t="s">
        <v>70</v>
      </c>
      <c r="I576" s="27" t="s">
        <v>2912</v>
      </c>
      <c r="J576" s="23" t="s">
        <v>1077</v>
      </c>
      <c r="K576" s="102" t="e">
        <v>#N/A</v>
      </c>
      <c r="L576" s="86" t="s">
        <v>1560</v>
      </c>
    </row>
    <row r="577" spans="1:29" s="41" customFormat="1" ht="31.2" customHeight="1" x14ac:dyDescent="0.2">
      <c r="A577" s="121" t="s">
        <v>1980</v>
      </c>
      <c r="B577" s="107" t="s">
        <v>12</v>
      </c>
      <c r="C577" s="116" t="s">
        <v>1981</v>
      </c>
      <c r="D577" s="105">
        <v>1997</v>
      </c>
      <c r="E577" s="132" t="s">
        <v>1982</v>
      </c>
      <c r="F577" s="125" t="s">
        <v>1983</v>
      </c>
      <c r="G577" s="109" t="str">
        <f>HYPERLINK("https://www.lyellcollection.org/toc/sp/125/1")</f>
        <v>https://www.lyellcollection.org/toc/sp/125/1</v>
      </c>
      <c r="H577" s="110" t="s">
        <v>70</v>
      </c>
      <c r="I577" s="27" t="s">
        <v>2912</v>
      </c>
      <c r="J577" s="23" t="s">
        <v>1273</v>
      </c>
      <c r="K577" s="102" t="e">
        <v>#N/A</v>
      </c>
      <c r="L577" s="86" t="s">
        <v>1560</v>
      </c>
    </row>
    <row r="578" spans="1:29" s="41" customFormat="1" ht="31.2" customHeight="1" x14ac:dyDescent="0.2">
      <c r="A578" s="111" t="s">
        <v>1984</v>
      </c>
      <c r="B578" s="107" t="s">
        <v>12</v>
      </c>
      <c r="C578" s="116" t="s">
        <v>1985</v>
      </c>
      <c r="D578" s="105">
        <v>1997</v>
      </c>
      <c r="E578" s="132" t="s">
        <v>1986</v>
      </c>
      <c r="F578" s="125" t="s">
        <v>1987</v>
      </c>
      <c r="G578" s="109" t="str">
        <f>HYPERLINK("https://www.lyellcollection.org/toc/sp/124/1")</f>
        <v>https://www.lyellcollection.org/toc/sp/124/1</v>
      </c>
      <c r="H578" s="110" t="s">
        <v>70</v>
      </c>
      <c r="I578" s="27" t="s">
        <v>2912</v>
      </c>
      <c r="J578" s="23" t="s">
        <v>1273</v>
      </c>
      <c r="K578" s="102">
        <v>95</v>
      </c>
      <c r="L578" s="86" t="s">
        <v>1560</v>
      </c>
    </row>
    <row r="579" spans="1:29" s="41" customFormat="1" ht="31.2" customHeight="1" x14ac:dyDescent="0.2">
      <c r="A579" s="121" t="s">
        <v>1988</v>
      </c>
      <c r="B579" s="107" t="s">
        <v>12</v>
      </c>
      <c r="C579" s="116" t="s">
        <v>1989</v>
      </c>
      <c r="D579" s="105">
        <v>1997</v>
      </c>
      <c r="E579" s="132" t="s">
        <v>1990</v>
      </c>
      <c r="F579" s="125" t="s">
        <v>1991</v>
      </c>
      <c r="G579" s="109" t="str">
        <f>HYPERLINK("https://www.lyellcollection.org/toc/sp/123/1")</f>
        <v>https://www.lyellcollection.org/toc/sp/123/1</v>
      </c>
      <c r="H579" s="110" t="s">
        <v>70</v>
      </c>
      <c r="I579" s="27" t="s">
        <v>2912</v>
      </c>
      <c r="J579" s="23" t="s">
        <v>1273</v>
      </c>
      <c r="K579" s="102">
        <v>80</v>
      </c>
      <c r="L579" s="86" t="s">
        <v>1560</v>
      </c>
    </row>
    <row r="580" spans="1:29" s="41" customFormat="1" ht="31.2" customHeight="1" x14ac:dyDescent="0.2">
      <c r="A580" s="111" t="s">
        <v>1992</v>
      </c>
      <c r="B580" s="107" t="s">
        <v>12</v>
      </c>
      <c r="C580" s="116" t="s">
        <v>1993</v>
      </c>
      <c r="D580" s="105">
        <v>1997</v>
      </c>
      <c r="E580" s="132" t="s">
        <v>1994</v>
      </c>
      <c r="F580" s="125" t="s">
        <v>1995</v>
      </c>
      <c r="G580" s="109" t="str">
        <f>HYPERLINK("https://www.lyellcollection.org/toc/sp/122/1")</f>
        <v>https://www.lyellcollection.org/toc/sp/122/1</v>
      </c>
      <c r="H580" s="110" t="s">
        <v>70</v>
      </c>
      <c r="I580" s="27" t="s">
        <v>2912</v>
      </c>
      <c r="J580" s="23" t="s">
        <v>1077</v>
      </c>
      <c r="K580" s="102" t="e">
        <v>#N/A</v>
      </c>
      <c r="L580" s="86" t="s">
        <v>1560</v>
      </c>
    </row>
    <row r="581" spans="1:29" s="41" customFormat="1" ht="31.2" customHeight="1" x14ac:dyDescent="0.2">
      <c r="A581" s="121" t="s">
        <v>1996</v>
      </c>
      <c r="B581" s="107" t="s">
        <v>12</v>
      </c>
      <c r="C581" s="116" t="s">
        <v>1997</v>
      </c>
      <c r="D581" s="105">
        <v>1997</v>
      </c>
      <c r="E581" s="132" t="s">
        <v>1998</v>
      </c>
      <c r="F581" s="125" t="s">
        <v>1999</v>
      </c>
      <c r="G581" s="109" t="str">
        <f>HYPERLINK("https://www.lyellcollection.org/toc/sp/121/1")</f>
        <v>https://www.lyellcollection.org/toc/sp/121/1</v>
      </c>
      <c r="H581" s="110" t="s">
        <v>70</v>
      </c>
      <c r="I581" s="27" t="s">
        <v>2912</v>
      </c>
      <c r="J581" s="23" t="s">
        <v>1077</v>
      </c>
      <c r="K581" s="102" t="e">
        <v>#N/A</v>
      </c>
      <c r="L581" s="86" t="s">
        <v>1560</v>
      </c>
    </row>
    <row r="582" spans="1:29" s="41" customFormat="1" ht="31.2" customHeight="1" x14ac:dyDescent="0.2">
      <c r="A582" s="111" t="s">
        <v>2000</v>
      </c>
      <c r="B582" s="107" t="s">
        <v>12</v>
      </c>
      <c r="C582" s="116" t="s">
        <v>2001</v>
      </c>
      <c r="D582" s="105">
        <v>1997</v>
      </c>
      <c r="E582" s="132" t="s">
        <v>2002</v>
      </c>
      <c r="F582" s="125" t="s">
        <v>2003</v>
      </c>
      <c r="G582" s="109" t="str">
        <f>HYPERLINK("https://www.lyellcollection.org/toc/sp/120/1")</f>
        <v>https://www.lyellcollection.org/toc/sp/120/1</v>
      </c>
      <c r="H582" s="110" t="s">
        <v>70</v>
      </c>
      <c r="I582" s="27" t="s">
        <v>2912</v>
      </c>
      <c r="J582" s="23" t="s">
        <v>1273</v>
      </c>
      <c r="K582" s="102">
        <v>90</v>
      </c>
      <c r="L582" s="86" t="s">
        <v>1560</v>
      </c>
    </row>
    <row r="583" spans="1:29" s="41" customFormat="1" ht="31.2" customHeight="1" x14ac:dyDescent="0.2">
      <c r="A583" s="111" t="s">
        <v>1956</v>
      </c>
      <c r="B583" s="116" t="s">
        <v>690</v>
      </c>
      <c r="C583" s="106" t="s">
        <v>1957</v>
      </c>
      <c r="D583" s="105">
        <v>1997</v>
      </c>
      <c r="E583" s="105" t="s">
        <v>1958</v>
      </c>
      <c r="F583" s="105" t="s">
        <v>1959</v>
      </c>
      <c r="G583" s="112" t="s">
        <v>79</v>
      </c>
      <c r="H583" s="191"/>
      <c r="I583" s="192"/>
      <c r="J583" s="23" t="s">
        <v>71</v>
      </c>
      <c r="K583" s="102">
        <v>125</v>
      </c>
      <c r="L583" s="53"/>
    </row>
    <row r="584" spans="1:29" s="41" customFormat="1" ht="31.2" customHeight="1" x14ac:dyDescent="0.2">
      <c r="A584" s="111" t="s">
        <v>1960</v>
      </c>
      <c r="B584" s="116" t="s">
        <v>1491</v>
      </c>
      <c r="C584" s="106" t="s">
        <v>1961</v>
      </c>
      <c r="D584" s="105">
        <v>1997</v>
      </c>
      <c r="E584" s="105" t="s">
        <v>1962</v>
      </c>
      <c r="F584" s="105" t="s">
        <v>1963</v>
      </c>
      <c r="G584" s="112" t="s">
        <v>79</v>
      </c>
      <c r="H584" s="191"/>
      <c r="I584" s="192"/>
      <c r="J584" s="23" t="s">
        <v>1273</v>
      </c>
      <c r="K584" s="102">
        <v>55</v>
      </c>
      <c r="L584" s="53"/>
    </row>
    <row r="585" spans="1:29" s="41" customFormat="1" ht="31.2" customHeight="1" x14ac:dyDescent="0.2">
      <c r="A585" s="111" t="s">
        <v>1964</v>
      </c>
      <c r="B585" s="116" t="s">
        <v>220</v>
      </c>
      <c r="C585" s="116" t="s">
        <v>1965</v>
      </c>
      <c r="D585" s="105">
        <v>1997</v>
      </c>
      <c r="E585" s="105" t="s">
        <v>1966</v>
      </c>
      <c r="F585" s="105" t="s">
        <v>1967</v>
      </c>
      <c r="G585" s="112" t="s">
        <v>79</v>
      </c>
      <c r="H585" s="191"/>
      <c r="I585" s="192"/>
      <c r="J585" s="23" t="s">
        <v>1273</v>
      </c>
      <c r="K585" s="102" t="e">
        <v>#N/A</v>
      </c>
      <c r="L585" s="53"/>
    </row>
    <row r="586" spans="1:29" s="41" customFormat="1" ht="31.2" customHeight="1" x14ac:dyDescent="0.2">
      <c r="A586" s="111" t="s">
        <v>1968</v>
      </c>
      <c r="B586" s="116" t="s">
        <v>220</v>
      </c>
      <c r="C586" s="116" t="s">
        <v>1969</v>
      </c>
      <c r="D586" s="105">
        <v>1997</v>
      </c>
      <c r="E586" s="105" t="s">
        <v>1970</v>
      </c>
      <c r="F586" s="105" t="s">
        <v>1971</v>
      </c>
      <c r="G586" s="112" t="s">
        <v>79</v>
      </c>
      <c r="H586" s="191"/>
      <c r="I586" s="192"/>
      <c r="J586" s="23" t="s">
        <v>1273</v>
      </c>
      <c r="K586" s="102">
        <v>70</v>
      </c>
      <c r="L586" s="53"/>
    </row>
    <row r="587" spans="1:29" s="41" customFormat="1" ht="31.2" customHeight="1" x14ac:dyDescent="0.2">
      <c r="A587" s="111" t="s">
        <v>2004</v>
      </c>
      <c r="B587" s="113" t="s">
        <v>39</v>
      </c>
      <c r="C587" s="116" t="s">
        <v>2005</v>
      </c>
      <c r="D587" s="105">
        <v>1997</v>
      </c>
      <c r="E587" s="132" t="s">
        <v>2006</v>
      </c>
      <c r="F587" s="125" t="s">
        <v>2007</v>
      </c>
      <c r="G587" s="109" t="str">
        <f>HYPERLINK("https://www.lyellcollection.org/toc/mem/17/1")</f>
        <v>https://www.lyellcollection.org/toc/mem/17/1</v>
      </c>
      <c r="H587" s="110" t="s">
        <v>70</v>
      </c>
      <c r="I587" s="27" t="s">
        <v>2912</v>
      </c>
      <c r="J587" s="23" t="s">
        <v>1077</v>
      </c>
      <c r="K587" s="102" t="e">
        <v>#N/A</v>
      </c>
      <c r="L587" s="53"/>
    </row>
    <row r="588" spans="1:29" s="41" customFormat="1" ht="31.2" customHeight="1" x14ac:dyDescent="0.2">
      <c r="A588" s="111" t="s">
        <v>2024</v>
      </c>
      <c r="B588" s="107" t="s">
        <v>43</v>
      </c>
      <c r="C588" s="106" t="s">
        <v>2025</v>
      </c>
      <c r="D588" s="105">
        <v>1996</v>
      </c>
      <c r="E588" s="84" t="s">
        <v>2026</v>
      </c>
      <c r="F588" s="84" t="s">
        <v>2027</v>
      </c>
      <c r="G588" s="109" t="str">
        <f>HYPERLINK("https://www.lyellcollection.org/toc/egsp/11/1")</f>
        <v>https://www.lyellcollection.org/toc/egsp/11/1</v>
      </c>
      <c r="H588" s="110" t="s">
        <v>70</v>
      </c>
      <c r="I588" s="27" t="s">
        <v>2912</v>
      </c>
      <c r="J588" s="23" t="s">
        <v>1077</v>
      </c>
      <c r="K588" s="102" t="e">
        <v>#N/A</v>
      </c>
      <c r="L588" s="53"/>
    </row>
    <row r="589" spans="1:29" s="41" customFormat="1" ht="31.2" customHeight="1" x14ac:dyDescent="0.2">
      <c r="A589" s="121" t="s">
        <v>2028</v>
      </c>
      <c r="B589" s="107" t="s">
        <v>12</v>
      </c>
      <c r="C589" s="116" t="s">
        <v>2029</v>
      </c>
      <c r="D589" s="105">
        <v>1996</v>
      </c>
      <c r="E589" s="132" t="s">
        <v>2030</v>
      </c>
      <c r="F589" s="125" t="s">
        <v>2031</v>
      </c>
      <c r="G589" s="109" t="str">
        <f>HYPERLINK("https://www.lyellcollection.org/toc/sp/119/1")</f>
        <v>https://www.lyellcollection.org/toc/sp/119/1</v>
      </c>
      <c r="H589" s="110" t="s">
        <v>70</v>
      </c>
      <c r="I589" s="27" t="s">
        <v>2912</v>
      </c>
      <c r="J589" s="23" t="s">
        <v>1273</v>
      </c>
      <c r="K589" s="102" t="e">
        <v>#N/A</v>
      </c>
      <c r="L589" s="86" t="s">
        <v>1560</v>
      </c>
    </row>
    <row r="590" spans="1:29" s="41" customFormat="1" ht="31.2" customHeight="1" x14ac:dyDescent="0.2">
      <c r="A590" s="111" t="s">
        <v>2032</v>
      </c>
      <c r="B590" s="107" t="s">
        <v>12</v>
      </c>
      <c r="C590" s="116" t="s">
        <v>2033</v>
      </c>
      <c r="D590" s="105">
        <v>1996</v>
      </c>
      <c r="E590" s="132" t="s">
        <v>2034</v>
      </c>
      <c r="F590" s="125" t="s">
        <v>2035</v>
      </c>
      <c r="G590" s="109" t="str">
        <f>HYPERLINK("https://www.lyellcollection.org/toc/sp/118/1")</f>
        <v>https://www.lyellcollection.org/toc/sp/118/1</v>
      </c>
      <c r="H590" s="110" t="s">
        <v>70</v>
      </c>
      <c r="I590" s="27" t="s">
        <v>2912</v>
      </c>
      <c r="J590" s="23" t="s">
        <v>1273</v>
      </c>
      <c r="K590" s="102">
        <v>90</v>
      </c>
      <c r="L590" s="86" t="s">
        <v>1560</v>
      </c>
    </row>
    <row r="591" spans="1:29" s="41" customFormat="1" ht="31.2" customHeight="1" x14ac:dyDescent="0.2">
      <c r="A591" s="121" t="s">
        <v>2036</v>
      </c>
      <c r="B591" s="107" t="s">
        <v>12</v>
      </c>
      <c r="C591" s="116" t="s">
        <v>2037</v>
      </c>
      <c r="D591" s="105">
        <v>1996</v>
      </c>
      <c r="E591" s="132" t="s">
        <v>2038</v>
      </c>
      <c r="F591" s="125" t="s">
        <v>2039</v>
      </c>
      <c r="G591" s="109" t="str">
        <f>HYPERLINK("https://www.lyellcollection.org/toc/sp/117/1")</f>
        <v>https://www.lyellcollection.org/toc/sp/117/1</v>
      </c>
      <c r="H591" s="110" t="s">
        <v>70</v>
      </c>
      <c r="I591" s="27" t="s">
        <v>2912</v>
      </c>
      <c r="J591" s="23" t="s">
        <v>71</v>
      </c>
      <c r="K591" s="102">
        <v>90</v>
      </c>
      <c r="L591" s="86" t="s">
        <v>1560</v>
      </c>
    </row>
    <row r="592" spans="1:29" s="117" customFormat="1" ht="31.2" customHeight="1" x14ac:dyDescent="0.2">
      <c r="A592" s="111" t="s">
        <v>2040</v>
      </c>
      <c r="B592" s="107" t="s">
        <v>12</v>
      </c>
      <c r="C592" s="116" t="s">
        <v>2041</v>
      </c>
      <c r="D592" s="105">
        <v>1996</v>
      </c>
      <c r="E592" s="132" t="s">
        <v>2042</v>
      </c>
      <c r="F592" s="125" t="s">
        <v>2043</v>
      </c>
      <c r="G592" s="109" t="str">
        <f>HYPERLINK("https://www.lyellcollection.org/toc/sp/116/1")</f>
        <v>https://www.lyellcollection.org/toc/sp/116/1</v>
      </c>
      <c r="H592" s="110" t="s">
        <v>70</v>
      </c>
      <c r="I592" s="27" t="s">
        <v>2912</v>
      </c>
      <c r="J592" s="23" t="s">
        <v>71</v>
      </c>
      <c r="K592" s="102">
        <v>90</v>
      </c>
      <c r="L592" s="86" t="s">
        <v>1560</v>
      </c>
      <c r="M592" s="41"/>
      <c r="N592" s="41"/>
      <c r="O592" s="41"/>
      <c r="P592" s="41"/>
      <c r="Q592" s="41"/>
      <c r="R592" s="41"/>
      <c r="S592" s="41"/>
      <c r="T592" s="41"/>
      <c r="U592" s="41"/>
      <c r="V592" s="41"/>
      <c r="W592" s="41"/>
      <c r="X592" s="41"/>
      <c r="Y592" s="41"/>
      <c r="Z592" s="41"/>
      <c r="AA592" s="41"/>
      <c r="AB592" s="41"/>
      <c r="AC592" s="41"/>
    </row>
    <row r="593" spans="1:12" s="41" customFormat="1" ht="31.2" customHeight="1" x14ac:dyDescent="0.2">
      <c r="A593" s="121" t="s">
        <v>2044</v>
      </c>
      <c r="B593" s="107" t="s">
        <v>12</v>
      </c>
      <c r="C593" s="116" t="s">
        <v>2045</v>
      </c>
      <c r="D593" s="105">
        <v>1996</v>
      </c>
      <c r="E593" s="132" t="s">
        <v>2046</v>
      </c>
      <c r="F593" s="125" t="s">
        <v>2047</v>
      </c>
      <c r="G593" s="109" t="str">
        <f>HYPERLINK("https://www.lyellcollection.org/toc/sp/115/1")</f>
        <v>https://www.lyellcollection.org/toc/sp/115/1</v>
      </c>
      <c r="H593" s="110" t="s">
        <v>70</v>
      </c>
      <c r="I593" s="27" t="s">
        <v>2912</v>
      </c>
      <c r="J593" s="23" t="s">
        <v>71</v>
      </c>
      <c r="K593" s="102">
        <v>85</v>
      </c>
      <c r="L593" s="86" t="s">
        <v>1560</v>
      </c>
    </row>
    <row r="594" spans="1:12" s="41" customFormat="1" ht="31.2" customHeight="1" x14ac:dyDescent="0.2">
      <c r="A594" s="111" t="s">
        <v>2048</v>
      </c>
      <c r="B594" s="107" t="s">
        <v>12</v>
      </c>
      <c r="C594" s="116" t="s">
        <v>2049</v>
      </c>
      <c r="D594" s="105">
        <v>1996</v>
      </c>
      <c r="E594" s="132" t="s">
        <v>2050</v>
      </c>
      <c r="F594" s="125" t="s">
        <v>2051</v>
      </c>
      <c r="G594" s="109" t="str">
        <f>HYPERLINK("https://www.lyellcollection.org/toc/sp/114/1")</f>
        <v>https://www.lyellcollection.org/toc/sp/114/1</v>
      </c>
      <c r="H594" s="110" t="s">
        <v>70</v>
      </c>
      <c r="I594" s="27" t="s">
        <v>2912</v>
      </c>
      <c r="J594" s="23" t="s">
        <v>1273</v>
      </c>
      <c r="K594" s="102" t="e">
        <v>#N/A</v>
      </c>
      <c r="L594" s="86" t="s">
        <v>1560</v>
      </c>
    </row>
    <row r="595" spans="1:12" s="41" customFormat="1" ht="31.2" customHeight="1" x14ac:dyDescent="0.2">
      <c r="A595" s="121" t="s">
        <v>2052</v>
      </c>
      <c r="B595" s="107" t="s">
        <v>12</v>
      </c>
      <c r="C595" s="116" t="s">
        <v>2053</v>
      </c>
      <c r="D595" s="105">
        <v>1996</v>
      </c>
      <c r="E595" s="132" t="s">
        <v>2054</v>
      </c>
      <c r="F595" s="125" t="s">
        <v>2055</v>
      </c>
      <c r="G595" s="109" t="str">
        <f>HYPERLINK("https://www.lyellcollection.org/toc/sp/113/1")</f>
        <v>https://www.lyellcollection.org/toc/sp/113/1</v>
      </c>
      <c r="H595" s="110" t="s">
        <v>70</v>
      </c>
      <c r="I595" s="27" t="s">
        <v>2912</v>
      </c>
      <c r="J595" s="23" t="s">
        <v>1077</v>
      </c>
      <c r="K595" s="102" t="e">
        <v>#N/A</v>
      </c>
      <c r="L595" s="86" t="s">
        <v>1560</v>
      </c>
    </row>
    <row r="596" spans="1:12" s="41" customFormat="1" ht="31.2" customHeight="1" x14ac:dyDescent="0.2">
      <c r="A596" s="111" t="s">
        <v>2056</v>
      </c>
      <c r="B596" s="107" t="s">
        <v>12</v>
      </c>
      <c r="C596" s="116" t="s">
        <v>2057</v>
      </c>
      <c r="D596" s="105">
        <v>1996</v>
      </c>
      <c r="E596" s="132" t="s">
        <v>2058</v>
      </c>
      <c r="F596" s="125" t="s">
        <v>2059</v>
      </c>
      <c r="G596" s="109" t="str">
        <f>HYPERLINK("https://www.lyellcollection.org/toc/sp/112/1")</f>
        <v>https://www.lyellcollection.org/toc/sp/112/1</v>
      </c>
      <c r="H596" s="110" t="s">
        <v>70</v>
      </c>
      <c r="I596" s="27" t="s">
        <v>2912</v>
      </c>
      <c r="J596" s="23" t="s">
        <v>1273</v>
      </c>
      <c r="K596" s="102">
        <v>90</v>
      </c>
      <c r="L596" s="86" t="s">
        <v>1560</v>
      </c>
    </row>
    <row r="597" spans="1:12" s="41" customFormat="1" ht="31.2" customHeight="1" x14ac:dyDescent="0.2">
      <c r="A597" s="121" t="s">
        <v>2060</v>
      </c>
      <c r="B597" s="107" t="s">
        <v>12</v>
      </c>
      <c r="C597" s="116" t="s">
        <v>2061</v>
      </c>
      <c r="D597" s="105">
        <v>1996</v>
      </c>
      <c r="E597" s="132" t="s">
        <v>2062</v>
      </c>
      <c r="F597" s="125" t="s">
        <v>2063</v>
      </c>
      <c r="G597" s="109" t="str">
        <f>HYPERLINK("https://www.lyellcollection.org/toc/sp/111/1")</f>
        <v>https://www.lyellcollection.org/toc/sp/111/1</v>
      </c>
      <c r="H597" s="110" t="s">
        <v>70</v>
      </c>
      <c r="I597" s="27" t="s">
        <v>2912</v>
      </c>
      <c r="J597" s="23" t="s">
        <v>71</v>
      </c>
      <c r="K597" s="102">
        <v>100</v>
      </c>
      <c r="L597" s="86" t="s">
        <v>1560</v>
      </c>
    </row>
    <row r="598" spans="1:12" s="41" customFormat="1" ht="31.2" customHeight="1" x14ac:dyDescent="0.2">
      <c r="A598" s="111" t="s">
        <v>2064</v>
      </c>
      <c r="B598" s="107" t="s">
        <v>12</v>
      </c>
      <c r="C598" s="116" t="s">
        <v>2065</v>
      </c>
      <c r="D598" s="105">
        <v>1996</v>
      </c>
      <c r="E598" s="132" t="s">
        <v>2066</v>
      </c>
      <c r="F598" s="125" t="s">
        <v>2067</v>
      </c>
      <c r="G598" s="109" t="str">
        <f>HYPERLINK("https://www.lyellcollection.org/toc/sp/110/1")</f>
        <v>https://www.lyellcollection.org/toc/sp/110/1</v>
      </c>
      <c r="H598" s="110" t="s">
        <v>70</v>
      </c>
      <c r="I598" s="27" t="s">
        <v>2912</v>
      </c>
      <c r="J598" s="23" t="s">
        <v>1273</v>
      </c>
      <c r="K598" s="102" t="e">
        <v>#N/A</v>
      </c>
      <c r="L598" s="86" t="s">
        <v>1560</v>
      </c>
    </row>
    <row r="599" spans="1:12" s="41" customFormat="1" ht="31.2" customHeight="1" x14ac:dyDescent="0.2">
      <c r="A599" s="121" t="s">
        <v>2068</v>
      </c>
      <c r="B599" s="107" t="s">
        <v>12</v>
      </c>
      <c r="C599" s="116" t="s">
        <v>2069</v>
      </c>
      <c r="D599" s="105">
        <v>1996</v>
      </c>
      <c r="E599" s="132" t="s">
        <v>2070</v>
      </c>
      <c r="F599" s="125" t="s">
        <v>2071</v>
      </c>
      <c r="G599" s="109" t="str">
        <f>HYPERLINK("https://www.lyellcollection.org/toc/sp/109/1")</f>
        <v>https://www.lyellcollection.org/toc/sp/109/1</v>
      </c>
      <c r="H599" s="110" t="s">
        <v>70</v>
      </c>
      <c r="I599" s="27" t="s">
        <v>2912</v>
      </c>
      <c r="J599" s="23" t="s">
        <v>1077</v>
      </c>
      <c r="K599" s="102" t="e">
        <v>#N/A</v>
      </c>
      <c r="L599" s="86" t="s">
        <v>1560</v>
      </c>
    </row>
    <row r="600" spans="1:12" s="41" customFormat="1" ht="31.2" customHeight="1" x14ac:dyDescent="0.2">
      <c r="A600" s="111" t="s">
        <v>2072</v>
      </c>
      <c r="B600" s="107" t="s">
        <v>12</v>
      </c>
      <c r="C600" s="116" t="s">
        <v>2073</v>
      </c>
      <c r="D600" s="105">
        <v>1996</v>
      </c>
      <c r="E600" s="132" t="s">
        <v>2074</v>
      </c>
      <c r="F600" s="125" t="s">
        <v>2075</v>
      </c>
      <c r="G600" s="109" t="str">
        <f>HYPERLINK("https://www.lyellcollection.org/toc/sp/108/1")</f>
        <v>https://www.lyellcollection.org/toc/sp/108/1</v>
      </c>
      <c r="H600" s="110" t="s">
        <v>70</v>
      </c>
      <c r="I600" s="27" t="s">
        <v>2912</v>
      </c>
      <c r="J600" s="23" t="s">
        <v>1273</v>
      </c>
      <c r="K600" s="102" t="e">
        <v>#N/A</v>
      </c>
      <c r="L600" s="86" t="s">
        <v>1560</v>
      </c>
    </row>
    <row r="601" spans="1:12" s="41" customFormat="1" ht="31.2" customHeight="1" x14ac:dyDescent="0.2">
      <c r="A601" s="121" t="s">
        <v>2076</v>
      </c>
      <c r="B601" s="107" t="s">
        <v>12</v>
      </c>
      <c r="C601" s="116" t="s">
        <v>2077</v>
      </c>
      <c r="D601" s="105">
        <v>1996</v>
      </c>
      <c r="E601" s="132" t="s">
        <v>2078</v>
      </c>
      <c r="F601" s="125" t="s">
        <v>2079</v>
      </c>
      <c r="G601" s="109" t="str">
        <f>HYPERLINK("https://www.lyellcollection.org/toc/sp/107/1")</f>
        <v>https://www.lyellcollection.org/toc/sp/107/1</v>
      </c>
      <c r="H601" s="110" t="s">
        <v>70</v>
      </c>
      <c r="I601" s="27" t="s">
        <v>2912</v>
      </c>
      <c r="J601" s="23" t="s">
        <v>1273</v>
      </c>
      <c r="K601" s="102">
        <v>95</v>
      </c>
      <c r="L601" s="86" t="s">
        <v>1560</v>
      </c>
    </row>
    <row r="602" spans="1:12" s="41" customFormat="1" ht="31.2" customHeight="1" x14ac:dyDescent="0.2">
      <c r="A602" s="111" t="s">
        <v>2080</v>
      </c>
      <c r="B602" s="107" t="s">
        <v>12</v>
      </c>
      <c r="C602" s="116" t="s">
        <v>2081</v>
      </c>
      <c r="D602" s="105">
        <v>1996</v>
      </c>
      <c r="E602" s="132" t="s">
        <v>2082</v>
      </c>
      <c r="F602" s="125" t="s">
        <v>2083</v>
      </c>
      <c r="G602" s="109" t="str">
        <f>HYPERLINK("https://www.lyellcollection.org/toc/sp/106/1")</f>
        <v>https://www.lyellcollection.org/toc/sp/106/1</v>
      </c>
      <c r="H602" s="110" t="s">
        <v>70</v>
      </c>
      <c r="I602" s="27" t="s">
        <v>2912</v>
      </c>
      <c r="J602" s="23" t="s">
        <v>1077</v>
      </c>
      <c r="K602" s="102" t="e">
        <v>#N/A</v>
      </c>
      <c r="L602" s="86" t="s">
        <v>1560</v>
      </c>
    </row>
    <row r="603" spans="1:12" s="41" customFormat="1" ht="31.2" customHeight="1" x14ac:dyDescent="0.2">
      <c r="A603" s="121" t="s">
        <v>2084</v>
      </c>
      <c r="B603" s="107" t="s">
        <v>12</v>
      </c>
      <c r="C603" s="116" t="s">
        <v>2085</v>
      </c>
      <c r="D603" s="105">
        <v>1996</v>
      </c>
      <c r="E603" s="132" t="s">
        <v>2086</v>
      </c>
      <c r="F603" s="125" t="s">
        <v>2087</v>
      </c>
      <c r="G603" s="109" t="str">
        <f>HYPERLINK("https://www.lyellcollection.org/toc/sp/105/1")</f>
        <v>https://www.lyellcollection.org/toc/sp/105/1</v>
      </c>
      <c r="H603" s="110" t="s">
        <v>70</v>
      </c>
      <c r="I603" s="27" t="s">
        <v>2912</v>
      </c>
      <c r="J603" s="23" t="s">
        <v>1273</v>
      </c>
      <c r="K603" s="102">
        <v>90</v>
      </c>
      <c r="L603" s="86" t="s">
        <v>1560</v>
      </c>
    </row>
    <row r="604" spans="1:12" s="41" customFormat="1" ht="31.2" customHeight="1" x14ac:dyDescent="0.2">
      <c r="A604" s="111" t="s">
        <v>2088</v>
      </c>
      <c r="B604" s="107" t="s">
        <v>12</v>
      </c>
      <c r="C604" s="116" t="s">
        <v>2089</v>
      </c>
      <c r="D604" s="105">
        <v>1996</v>
      </c>
      <c r="E604" s="132" t="s">
        <v>2090</v>
      </c>
      <c r="F604" s="125" t="s">
        <v>2091</v>
      </c>
      <c r="G604" s="109" t="str">
        <f>HYPERLINK("https://www.lyellcollection.org/toc/sp/104/1")</f>
        <v>https://www.lyellcollection.org/toc/sp/104/1</v>
      </c>
      <c r="H604" s="110" t="s">
        <v>70</v>
      </c>
      <c r="I604" s="27" t="s">
        <v>2912</v>
      </c>
      <c r="J604" s="23" t="s">
        <v>1077</v>
      </c>
      <c r="K604" s="102" t="e">
        <v>#N/A</v>
      </c>
      <c r="L604" s="86" t="s">
        <v>1560</v>
      </c>
    </row>
    <row r="605" spans="1:12" s="41" customFormat="1" ht="31.2" customHeight="1" x14ac:dyDescent="0.2">
      <c r="A605" s="121" t="s">
        <v>2092</v>
      </c>
      <c r="B605" s="107" t="s">
        <v>12</v>
      </c>
      <c r="C605" s="116" t="s">
        <v>2093</v>
      </c>
      <c r="D605" s="105">
        <v>1996</v>
      </c>
      <c r="E605" s="132" t="s">
        <v>2094</v>
      </c>
      <c r="F605" s="125" t="s">
        <v>2095</v>
      </c>
      <c r="G605" s="109" t="str">
        <f>HYPERLINK("https://www.lyellcollection.org/toc/sp/103/1")</f>
        <v>https://www.lyellcollection.org/toc/sp/103/1</v>
      </c>
      <c r="H605" s="110" t="s">
        <v>70</v>
      </c>
      <c r="I605" s="27" t="s">
        <v>2912</v>
      </c>
      <c r="J605" s="23" t="s">
        <v>1273</v>
      </c>
      <c r="K605" s="102"/>
      <c r="L605" s="86" t="s">
        <v>1560</v>
      </c>
    </row>
    <row r="606" spans="1:12" s="41" customFormat="1" ht="31.2" customHeight="1" x14ac:dyDescent="0.2">
      <c r="A606" s="111" t="s">
        <v>2096</v>
      </c>
      <c r="B606" s="107" t="s">
        <v>12</v>
      </c>
      <c r="C606" s="116" t="s">
        <v>2097</v>
      </c>
      <c r="D606" s="105">
        <v>1996</v>
      </c>
      <c r="E606" s="132" t="s">
        <v>2098</v>
      </c>
      <c r="F606" s="125" t="s">
        <v>2099</v>
      </c>
      <c r="G606" s="109" t="str">
        <f>HYPERLINK("https://www.lyellcollection.org/toc/sp/102/1")</f>
        <v>https://www.lyellcollection.org/toc/sp/102/1</v>
      </c>
      <c r="H606" s="110" t="s">
        <v>70</v>
      </c>
      <c r="I606" s="27" t="s">
        <v>2912</v>
      </c>
      <c r="J606" s="23" t="s">
        <v>1273</v>
      </c>
      <c r="K606" s="102">
        <v>105</v>
      </c>
      <c r="L606" s="86" t="s">
        <v>1560</v>
      </c>
    </row>
    <row r="607" spans="1:12" s="41" customFormat="1" ht="31.2" customHeight="1" x14ac:dyDescent="0.2">
      <c r="A607" s="121" t="s">
        <v>2100</v>
      </c>
      <c r="B607" s="107" t="s">
        <v>12</v>
      </c>
      <c r="C607" s="116" t="s">
        <v>2101</v>
      </c>
      <c r="D607" s="105">
        <v>1996</v>
      </c>
      <c r="E607" s="132" t="s">
        <v>2102</v>
      </c>
      <c r="F607" s="125" t="s">
        <v>2103</v>
      </c>
      <c r="G607" s="109" t="str">
        <f>HYPERLINK("https://www.lyellcollection.org/toc/sp/101/1")</f>
        <v>https://www.lyellcollection.org/toc/sp/101/1</v>
      </c>
      <c r="H607" s="110" t="s">
        <v>70</v>
      </c>
      <c r="I607" s="27" t="s">
        <v>2912</v>
      </c>
      <c r="J607" s="23" t="s">
        <v>1273</v>
      </c>
      <c r="K607" s="102"/>
      <c r="L607" s="86" t="s">
        <v>1560</v>
      </c>
    </row>
    <row r="608" spans="1:12" s="41" customFormat="1" ht="31.2" customHeight="1" x14ac:dyDescent="0.2">
      <c r="A608" s="111" t="s">
        <v>2104</v>
      </c>
      <c r="B608" s="107" t="s">
        <v>12</v>
      </c>
      <c r="C608" s="116" t="s">
        <v>2105</v>
      </c>
      <c r="D608" s="105">
        <v>1996</v>
      </c>
      <c r="E608" s="132" t="s">
        <v>2106</v>
      </c>
      <c r="F608" s="125" t="s">
        <v>2107</v>
      </c>
      <c r="G608" s="109" t="str">
        <f>HYPERLINK("https://www.lyellcollection.org/toc/sp/100/1")</f>
        <v>https://www.lyellcollection.org/toc/sp/100/1</v>
      </c>
      <c r="H608" s="110" t="s">
        <v>70</v>
      </c>
      <c r="I608" s="27" t="s">
        <v>2912</v>
      </c>
      <c r="J608" s="23" t="s">
        <v>1077</v>
      </c>
      <c r="K608" s="102" t="e">
        <v>#N/A</v>
      </c>
      <c r="L608" s="86" t="s">
        <v>2108</v>
      </c>
    </row>
    <row r="609" spans="1:12" s="41" customFormat="1" ht="31.2" customHeight="1" x14ac:dyDescent="0.2">
      <c r="A609" s="121" t="s">
        <v>2109</v>
      </c>
      <c r="B609" s="107" t="s">
        <v>12</v>
      </c>
      <c r="C609" s="116" t="s">
        <v>2110</v>
      </c>
      <c r="D609" s="105">
        <v>1996</v>
      </c>
      <c r="E609" s="132" t="s">
        <v>2111</v>
      </c>
      <c r="F609" s="125" t="s">
        <v>2112</v>
      </c>
      <c r="G609" s="109" t="str">
        <f>HYPERLINK("https://www.lyellcollection.org/toc/sp/99/1")</f>
        <v>https://www.lyellcollection.org/toc/sp/99/1</v>
      </c>
      <c r="H609" s="110" t="s">
        <v>70</v>
      </c>
      <c r="I609" s="27" t="s">
        <v>2912</v>
      </c>
      <c r="J609" s="23" t="s">
        <v>1273</v>
      </c>
      <c r="K609" s="102">
        <v>95</v>
      </c>
      <c r="L609" s="86" t="s">
        <v>2108</v>
      </c>
    </row>
    <row r="610" spans="1:12" s="41" customFormat="1" ht="31.2" customHeight="1" x14ac:dyDescent="0.2">
      <c r="A610" s="121" t="s">
        <v>2113</v>
      </c>
      <c r="B610" s="107" t="s">
        <v>12</v>
      </c>
      <c r="C610" s="116" t="s">
        <v>2114</v>
      </c>
      <c r="D610" s="105">
        <v>1996</v>
      </c>
      <c r="E610" s="84" t="s">
        <v>2115</v>
      </c>
      <c r="F610" s="84" t="s">
        <v>2116</v>
      </c>
      <c r="G610" s="109" t="str">
        <f>HYPERLINK("https://www.lyellcollection.org/toc/sp/17/1")</f>
        <v>https://www.lyellcollection.org/toc/sp/17/1</v>
      </c>
      <c r="H610" s="110" t="s">
        <v>70</v>
      </c>
      <c r="I610" s="27" t="s">
        <v>2912</v>
      </c>
      <c r="J610" s="23" t="s">
        <v>1273</v>
      </c>
      <c r="K610" s="102">
        <v>100</v>
      </c>
      <c r="L610" s="86" t="s">
        <v>2108</v>
      </c>
    </row>
    <row r="611" spans="1:12" s="41" customFormat="1" ht="31.2" customHeight="1" x14ac:dyDescent="0.2">
      <c r="A611" s="111" t="s">
        <v>2008</v>
      </c>
      <c r="B611" s="116" t="s">
        <v>690</v>
      </c>
      <c r="C611" s="106" t="s">
        <v>2009</v>
      </c>
      <c r="D611" s="105">
        <v>1996</v>
      </c>
      <c r="E611" s="105" t="s">
        <v>2010</v>
      </c>
      <c r="F611" s="105" t="s">
        <v>2011</v>
      </c>
      <c r="G611" s="112" t="s">
        <v>79</v>
      </c>
      <c r="H611" s="191"/>
      <c r="I611" s="192"/>
      <c r="J611" s="23" t="s">
        <v>71</v>
      </c>
      <c r="K611" s="102">
        <v>95</v>
      </c>
      <c r="L611" s="53"/>
    </row>
    <row r="612" spans="1:12" s="41" customFormat="1" ht="31.2" customHeight="1" x14ac:dyDescent="0.2">
      <c r="A612" s="111" t="s">
        <v>2012</v>
      </c>
      <c r="B612" s="116" t="s">
        <v>220</v>
      </c>
      <c r="C612" s="116" t="s">
        <v>2013</v>
      </c>
      <c r="D612" s="105">
        <v>1996</v>
      </c>
      <c r="E612" s="105" t="s">
        <v>2014</v>
      </c>
      <c r="F612" s="105" t="s">
        <v>2015</v>
      </c>
      <c r="G612" s="112" t="s">
        <v>79</v>
      </c>
      <c r="H612" s="191"/>
      <c r="I612" s="192"/>
      <c r="J612" s="23" t="s">
        <v>1077</v>
      </c>
      <c r="K612" s="102" t="e">
        <v>#N/A</v>
      </c>
      <c r="L612" s="53"/>
    </row>
    <row r="613" spans="1:12" s="41" customFormat="1" ht="31.2" customHeight="1" x14ac:dyDescent="0.2">
      <c r="A613" s="111" t="s">
        <v>2016</v>
      </c>
      <c r="B613" s="116" t="s">
        <v>220</v>
      </c>
      <c r="C613" s="116" t="s">
        <v>2017</v>
      </c>
      <c r="D613" s="105">
        <v>1996</v>
      </c>
      <c r="E613" s="105" t="s">
        <v>2018</v>
      </c>
      <c r="F613" s="105" t="s">
        <v>2019</v>
      </c>
      <c r="G613" s="112" t="s">
        <v>79</v>
      </c>
      <c r="H613" s="191"/>
      <c r="I613" s="192"/>
      <c r="J613" s="23" t="s">
        <v>1273</v>
      </c>
      <c r="K613" s="102">
        <v>40</v>
      </c>
      <c r="L613" s="53"/>
    </row>
    <row r="614" spans="1:12" s="41" customFormat="1" ht="31.2" customHeight="1" x14ac:dyDescent="0.2">
      <c r="A614" s="111" t="s">
        <v>2020</v>
      </c>
      <c r="B614" s="116" t="s">
        <v>220</v>
      </c>
      <c r="C614" s="116" t="s">
        <v>2021</v>
      </c>
      <c r="D614" s="105">
        <v>1996</v>
      </c>
      <c r="E614" s="105" t="s">
        <v>2022</v>
      </c>
      <c r="F614" s="105" t="s">
        <v>2023</v>
      </c>
      <c r="G614" s="112" t="s">
        <v>79</v>
      </c>
      <c r="H614" s="191"/>
      <c r="I614" s="192"/>
      <c r="J614" s="23" t="s">
        <v>1077</v>
      </c>
      <c r="K614" s="102" t="e">
        <v>#N/A</v>
      </c>
      <c r="L614" s="53"/>
    </row>
    <row r="615" spans="1:12" s="41" customFormat="1" ht="31.2" customHeight="1" x14ac:dyDescent="0.2">
      <c r="A615" s="111" t="s">
        <v>2125</v>
      </c>
      <c r="B615" s="107" t="s">
        <v>43</v>
      </c>
      <c r="C615" s="106" t="s">
        <v>2126</v>
      </c>
      <c r="D615" s="105">
        <v>1995</v>
      </c>
      <c r="E615" s="84" t="s">
        <v>2127</v>
      </c>
      <c r="F615" s="84" t="s">
        <v>2128</v>
      </c>
      <c r="G615" s="109" t="str">
        <f>HYPERLINK("https://www.lyellcollection.org/toc/egsp/10/1")</f>
        <v>https://www.lyellcollection.org/toc/egsp/10/1</v>
      </c>
      <c r="H615" s="110" t="s">
        <v>70</v>
      </c>
      <c r="I615" s="27" t="s">
        <v>2912</v>
      </c>
      <c r="J615" s="23" t="s">
        <v>1077</v>
      </c>
      <c r="K615" s="102" t="e">
        <v>#N/A</v>
      </c>
      <c r="L615" s="53"/>
    </row>
    <row r="616" spans="1:12" s="41" customFormat="1" ht="31.2" customHeight="1" x14ac:dyDescent="0.2">
      <c r="A616" s="121" t="s">
        <v>2129</v>
      </c>
      <c r="B616" s="107" t="s">
        <v>12</v>
      </c>
      <c r="C616" s="116" t="s">
        <v>2130</v>
      </c>
      <c r="D616" s="105">
        <v>1995</v>
      </c>
      <c r="E616" s="84" t="s">
        <v>2131</v>
      </c>
      <c r="F616" s="84" t="s">
        <v>2132</v>
      </c>
      <c r="G616" s="109" t="str">
        <f>HYPERLINK("https://www.lyellcollection.org/toc/sp/145/1")</f>
        <v>https://www.lyellcollection.org/toc/sp/145/1</v>
      </c>
      <c r="H616" s="110" t="s">
        <v>70</v>
      </c>
      <c r="I616" s="27" t="s">
        <v>2912</v>
      </c>
      <c r="J616" s="23" t="s">
        <v>1273</v>
      </c>
      <c r="K616" s="102">
        <v>85</v>
      </c>
      <c r="L616" s="86" t="s">
        <v>1560</v>
      </c>
    </row>
    <row r="617" spans="1:12" s="41" customFormat="1" ht="31.2" customHeight="1" x14ac:dyDescent="0.2">
      <c r="A617" s="111" t="s">
        <v>2133</v>
      </c>
      <c r="B617" s="107" t="s">
        <v>12</v>
      </c>
      <c r="C617" s="116" t="s">
        <v>2134</v>
      </c>
      <c r="D617" s="105">
        <v>1995</v>
      </c>
      <c r="E617" s="132" t="s">
        <v>2135</v>
      </c>
      <c r="F617" s="125" t="s">
        <v>2136</v>
      </c>
      <c r="G617" s="109" t="str">
        <f>HYPERLINK("https://www.lyellcollection.org/toc/sp/98/1")</f>
        <v>https://www.lyellcollection.org/toc/sp/98/1</v>
      </c>
      <c r="H617" s="110" t="s">
        <v>70</v>
      </c>
      <c r="I617" s="27" t="s">
        <v>2912</v>
      </c>
      <c r="J617" s="23" t="s">
        <v>1273</v>
      </c>
      <c r="K617" s="102"/>
      <c r="L617" s="86" t="s">
        <v>2108</v>
      </c>
    </row>
    <row r="618" spans="1:12" s="41" customFormat="1" ht="31.2" customHeight="1" x14ac:dyDescent="0.2">
      <c r="A618" s="121" t="s">
        <v>2137</v>
      </c>
      <c r="B618" s="107" t="s">
        <v>12</v>
      </c>
      <c r="C618" s="116" t="s">
        <v>2138</v>
      </c>
      <c r="D618" s="105">
        <v>1995</v>
      </c>
      <c r="E618" s="132" t="s">
        <v>2139</v>
      </c>
      <c r="F618" s="125" t="s">
        <v>2140</v>
      </c>
      <c r="G618" s="109" t="str">
        <f>HYPERLINK("https://www.lyellcollection.org/toc/sp/97/1")</f>
        <v>https://www.lyellcollection.org/toc/sp/97/1</v>
      </c>
      <c r="H618" s="110" t="s">
        <v>70</v>
      </c>
      <c r="I618" s="27" t="s">
        <v>2912</v>
      </c>
      <c r="J618" s="23" t="s">
        <v>1273</v>
      </c>
      <c r="K618" s="102"/>
      <c r="L618" s="86" t="s">
        <v>2108</v>
      </c>
    </row>
    <row r="619" spans="1:12" s="41" customFormat="1" ht="31.2" customHeight="1" x14ac:dyDescent="0.2">
      <c r="A619" s="111" t="s">
        <v>2141</v>
      </c>
      <c r="B619" s="107" t="s">
        <v>12</v>
      </c>
      <c r="C619" s="116" t="s">
        <v>2142</v>
      </c>
      <c r="D619" s="105">
        <v>1995</v>
      </c>
      <c r="E619" s="132" t="s">
        <v>2143</v>
      </c>
      <c r="F619" s="125" t="s">
        <v>2144</v>
      </c>
      <c r="G619" s="109" t="str">
        <f>HYPERLINK("https://www.lyellcollection.org/toc/sp/96/1")</f>
        <v>https://www.lyellcollection.org/toc/sp/96/1</v>
      </c>
      <c r="H619" s="110" t="s">
        <v>70</v>
      </c>
      <c r="I619" s="27" t="s">
        <v>2912</v>
      </c>
      <c r="J619" s="23" t="s">
        <v>1273</v>
      </c>
      <c r="K619" s="102"/>
      <c r="L619" s="86" t="s">
        <v>2108</v>
      </c>
    </row>
    <row r="620" spans="1:12" s="41" customFormat="1" ht="31.2" customHeight="1" x14ac:dyDescent="0.2">
      <c r="A620" s="121" t="s">
        <v>2145</v>
      </c>
      <c r="B620" s="107" t="s">
        <v>12</v>
      </c>
      <c r="C620" s="116" t="s">
        <v>2146</v>
      </c>
      <c r="D620" s="105">
        <v>1995</v>
      </c>
      <c r="E620" s="132" t="s">
        <v>2147</v>
      </c>
      <c r="F620" s="125" t="s">
        <v>2148</v>
      </c>
      <c r="G620" s="109" t="str">
        <f>HYPERLINK("https://www.lyellcollection.org/toc/sp/95/1")</f>
        <v>https://www.lyellcollection.org/toc/sp/95/1</v>
      </c>
      <c r="H620" s="110" t="s">
        <v>70</v>
      </c>
      <c r="I620" s="27" t="s">
        <v>2912</v>
      </c>
      <c r="J620" s="23" t="s">
        <v>1273</v>
      </c>
      <c r="K620" s="102">
        <v>95</v>
      </c>
      <c r="L620" s="86" t="s">
        <v>2108</v>
      </c>
    </row>
    <row r="621" spans="1:12" s="41" customFormat="1" ht="31.2" customHeight="1" x14ac:dyDescent="0.2">
      <c r="A621" s="111" t="s">
        <v>2149</v>
      </c>
      <c r="B621" s="107" t="s">
        <v>12</v>
      </c>
      <c r="C621" s="116" t="s">
        <v>2150</v>
      </c>
      <c r="D621" s="105">
        <v>1995</v>
      </c>
      <c r="E621" s="132" t="s">
        <v>2151</v>
      </c>
      <c r="F621" s="125" t="s">
        <v>2152</v>
      </c>
      <c r="G621" s="109" t="str">
        <f>HYPERLINK("https://www.lyellcollection.org/toc/sp/94/1")</f>
        <v>https://www.lyellcollection.org/toc/sp/94/1</v>
      </c>
      <c r="H621" s="110" t="s">
        <v>70</v>
      </c>
      <c r="I621" s="27" t="s">
        <v>2912</v>
      </c>
      <c r="J621" s="23" t="s">
        <v>1077</v>
      </c>
      <c r="K621" s="102" t="e">
        <v>#N/A</v>
      </c>
      <c r="L621" s="86" t="s">
        <v>2108</v>
      </c>
    </row>
    <row r="622" spans="1:12" s="41" customFormat="1" ht="31.2" customHeight="1" x14ac:dyDescent="0.2">
      <c r="A622" s="121" t="s">
        <v>2153</v>
      </c>
      <c r="B622" s="107" t="s">
        <v>12</v>
      </c>
      <c r="C622" s="116" t="s">
        <v>2154</v>
      </c>
      <c r="D622" s="105">
        <v>1995</v>
      </c>
      <c r="E622" s="132" t="s">
        <v>2155</v>
      </c>
      <c r="F622" s="125" t="s">
        <v>2156</v>
      </c>
      <c r="G622" s="109" t="str">
        <f>HYPERLINK("https://www.lyellcollection.org/toc/sp/93/1")</f>
        <v>https://www.lyellcollection.org/toc/sp/93/1</v>
      </c>
      <c r="H622" s="110" t="s">
        <v>70</v>
      </c>
      <c r="I622" s="27" t="s">
        <v>2912</v>
      </c>
      <c r="J622" s="23" t="s">
        <v>1273</v>
      </c>
      <c r="K622" s="102">
        <v>95</v>
      </c>
      <c r="L622" s="86" t="s">
        <v>2108</v>
      </c>
    </row>
    <row r="623" spans="1:12" s="41" customFormat="1" ht="31.2" customHeight="1" x14ac:dyDescent="0.2">
      <c r="A623" s="111" t="s">
        <v>2157</v>
      </c>
      <c r="B623" s="107" t="s">
        <v>12</v>
      </c>
      <c r="C623" s="116" t="s">
        <v>2158</v>
      </c>
      <c r="D623" s="105">
        <v>1995</v>
      </c>
      <c r="E623" s="132" t="s">
        <v>2159</v>
      </c>
      <c r="F623" s="125" t="s">
        <v>2160</v>
      </c>
      <c r="G623" s="109" t="str">
        <f>HYPERLINK("https://www.lyellcollection.org/toc/sp/92/1")</f>
        <v>https://www.lyellcollection.org/toc/sp/92/1</v>
      </c>
      <c r="H623" s="110" t="s">
        <v>70</v>
      </c>
      <c r="I623" s="27" t="s">
        <v>2912</v>
      </c>
      <c r="J623" s="23" t="s">
        <v>1077</v>
      </c>
      <c r="K623" s="102" t="e">
        <v>#N/A</v>
      </c>
      <c r="L623" s="86" t="s">
        <v>2108</v>
      </c>
    </row>
    <row r="624" spans="1:12" s="41" customFormat="1" ht="31.2" customHeight="1" x14ac:dyDescent="0.2">
      <c r="A624" s="121" t="s">
        <v>2161</v>
      </c>
      <c r="B624" s="107" t="s">
        <v>12</v>
      </c>
      <c r="C624" s="116" t="s">
        <v>2162</v>
      </c>
      <c r="D624" s="105">
        <v>1995</v>
      </c>
      <c r="E624" s="132" t="s">
        <v>2163</v>
      </c>
      <c r="F624" s="125" t="s">
        <v>2164</v>
      </c>
      <c r="G624" s="109" t="str">
        <f>HYPERLINK("https://www.lyellcollection.org/toc/sp/91/1")</f>
        <v>https://www.lyellcollection.org/toc/sp/91/1</v>
      </c>
      <c r="H624" s="110" t="s">
        <v>70</v>
      </c>
      <c r="I624" s="27" t="s">
        <v>2912</v>
      </c>
      <c r="J624" s="23" t="s">
        <v>1273</v>
      </c>
      <c r="K624" s="102">
        <v>90</v>
      </c>
      <c r="L624" s="86" t="s">
        <v>2108</v>
      </c>
    </row>
    <row r="625" spans="1:12" s="41" customFormat="1" ht="31.2" customHeight="1" x14ac:dyDescent="0.2">
      <c r="A625" s="111" t="s">
        <v>2165</v>
      </c>
      <c r="B625" s="107" t="s">
        <v>12</v>
      </c>
      <c r="C625" s="116" t="s">
        <v>2166</v>
      </c>
      <c r="D625" s="105">
        <v>1995</v>
      </c>
      <c r="E625" s="132" t="s">
        <v>2167</v>
      </c>
      <c r="F625" s="125" t="s">
        <v>2168</v>
      </c>
      <c r="G625" s="109" t="str">
        <f>HYPERLINK("https://www.lyellcollection.org/toc/sp/90/1")</f>
        <v>https://www.lyellcollection.org/toc/sp/90/1</v>
      </c>
      <c r="H625" s="110" t="s">
        <v>70</v>
      </c>
      <c r="I625" s="27" t="s">
        <v>2912</v>
      </c>
      <c r="J625" s="23" t="s">
        <v>71</v>
      </c>
      <c r="K625" s="102">
        <v>90</v>
      </c>
      <c r="L625" s="86" t="s">
        <v>2108</v>
      </c>
    </row>
    <row r="626" spans="1:12" s="41" customFormat="1" ht="31.2" customHeight="1" x14ac:dyDescent="0.2">
      <c r="A626" s="121" t="s">
        <v>2169</v>
      </c>
      <c r="B626" s="107" t="s">
        <v>12</v>
      </c>
      <c r="C626" s="116" t="s">
        <v>2170</v>
      </c>
      <c r="D626" s="105">
        <v>1995</v>
      </c>
      <c r="E626" s="132" t="s">
        <v>2171</v>
      </c>
      <c r="F626" s="125" t="s">
        <v>2172</v>
      </c>
      <c r="G626" s="109" t="str">
        <f>HYPERLINK("https://www.lyellcollection.org/toc/sp/89/1")</f>
        <v>https://www.lyellcollection.org/toc/sp/89/1</v>
      </c>
      <c r="H626" s="110" t="s">
        <v>70</v>
      </c>
      <c r="I626" s="27" t="s">
        <v>2912</v>
      </c>
      <c r="J626" s="23" t="s">
        <v>1273</v>
      </c>
      <c r="K626" s="102">
        <v>90</v>
      </c>
      <c r="L626" s="86" t="s">
        <v>2108</v>
      </c>
    </row>
    <row r="627" spans="1:12" s="41" customFormat="1" ht="31.2" customHeight="1" x14ac:dyDescent="0.2">
      <c r="A627" s="111" t="s">
        <v>2173</v>
      </c>
      <c r="B627" s="107" t="s">
        <v>12</v>
      </c>
      <c r="C627" s="116" t="s">
        <v>2174</v>
      </c>
      <c r="D627" s="105">
        <v>1995</v>
      </c>
      <c r="E627" s="132" t="s">
        <v>2175</v>
      </c>
      <c r="F627" s="125" t="s">
        <v>2176</v>
      </c>
      <c r="G627" s="109" t="str">
        <f>HYPERLINK("https://www.lyellcollection.org/toc/sp/88/1")</f>
        <v>https://www.lyellcollection.org/toc/sp/88/1</v>
      </c>
      <c r="H627" s="110" t="s">
        <v>70</v>
      </c>
      <c r="I627" s="27" t="s">
        <v>2912</v>
      </c>
      <c r="J627" s="23" t="s">
        <v>1077</v>
      </c>
      <c r="K627" s="102" t="e">
        <v>#N/A</v>
      </c>
      <c r="L627" s="86" t="s">
        <v>2108</v>
      </c>
    </row>
    <row r="628" spans="1:12" s="41" customFormat="1" ht="31.2" customHeight="1" x14ac:dyDescent="0.2">
      <c r="A628" s="121" t="s">
        <v>2177</v>
      </c>
      <c r="B628" s="107" t="s">
        <v>12</v>
      </c>
      <c r="C628" s="116" t="s">
        <v>2178</v>
      </c>
      <c r="D628" s="105">
        <v>1995</v>
      </c>
      <c r="E628" s="132" t="s">
        <v>2179</v>
      </c>
      <c r="F628" s="125" t="s">
        <v>2180</v>
      </c>
      <c r="G628" s="109" t="str">
        <f>HYPERLINK("https://www.lyellcollection.org/toc/sp/87/1")</f>
        <v>https://www.lyellcollection.org/toc/sp/87/1</v>
      </c>
      <c r="H628" s="110" t="s">
        <v>70</v>
      </c>
      <c r="I628" s="27" t="s">
        <v>2912</v>
      </c>
      <c r="J628" s="23" t="s">
        <v>1273</v>
      </c>
      <c r="K628" s="102"/>
      <c r="L628" s="86" t="s">
        <v>2108</v>
      </c>
    </row>
    <row r="629" spans="1:12" s="41" customFormat="1" ht="31.2" customHeight="1" x14ac:dyDescent="0.2">
      <c r="A629" s="111" t="s">
        <v>2181</v>
      </c>
      <c r="B629" s="107" t="s">
        <v>12</v>
      </c>
      <c r="C629" s="116" t="s">
        <v>2182</v>
      </c>
      <c r="D629" s="105">
        <v>1995</v>
      </c>
      <c r="E629" s="132" t="s">
        <v>2183</v>
      </c>
      <c r="F629" s="125" t="s">
        <v>2184</v>
      </c>
      <c r="G629" s="109" t="str">
        <f>HYPERLINK("https://www.lyellcollection.org/toc/sp/86/1")</f>
        <v>https://www.lyellcollection.org/toc/sp/86/1</v>
      </c>
      <c r="H629" s="110" t="s">
        <v>70</v>
      </c>
      <c r="I629" s="27" t="s">
        <v>2912</v>
      </c>
      <c r="J629" s="23" t="s">
        <v>1077</v>
      </c>
      <c r="K629" s="102" t="e">
        <v>#N/A</v>
      </c>
      <c r="L629" s="86" t="s">
        <v>2108</v>
      </c>
    </row>
    <row r="630" spans="1:12" s="41" customFormat="1" ht="31.2" customHeight="1" x14ac:dyDescent="0.2">
      <c r="A630" s="121" t="s">
        <v>2185</v>
      </c>
      <c r="B630" s="107" t="s">
        <v>12</v>
      </c>
      <c r="C630" s="116" t="s">
        <v>2186</v>
      </c>
      <c r="D630" s="105">
        <v>1995</v>
      </c>
      <c r="E630" s="132" t="s">
        <v>2187</v>
      </c>
      <c r="F630" s="125" t="s">
        <v>2188</v>
      </c>
      <c r="G630" s="109" t="str">
        <f>HYPERLINK("https://www.lyellcollection.org/toc/sp/85/1")</f>
        <v>https://www.lyellcollection.org/toc/sp/85/1</v>
      </c>
      <c r="H630" s="110" t="s">
        <v>70</v>
      </c>
      <c r="I630" s="27" t="s">
        <v>2912</v>
      </c>
      <c r="J630" s="23" t="s">
        <v>71</v>
      </c>
      <c r="K630" s="102">
        <v>90</v>
      </c>
      <c r="L630" s="86" t="s">
        <v>2108</v>
      </c>
    </row>
    <row r="631" spans="1:12" s="41" customFormat="1" ht="31.2" customHeight="1" x14ac:dyDescent="0.2">
      <c r="A631" s="111" t="s">
        <v>2189</v>
      </c>
      <c r="B631" s="107" t="s">
        <v>12</v>
      </c>
      <c r="C631" s="116" t="s">
        <v>2190</v>
      </c>
      <c r="D631" s="105">
        <v>1995</v>
      </c>
      <c r="E631" s="132" t="s">
        <v>2191</v>
      </c>
      <c r="F631" s="125" t="s">
        <v>2192</v>
      </c>
      <c r="G631" s="109" t="str">
        <f>HYPERLINK("https://www.lyellcollection.org/toc/sp/84/1")</f>
        <v>https://www.lyellcollection.org/toc/sp/84/1</v>
      </c>
      <c r="H631" s="110" t="s">
        <v>70</v>
      </c>
      <c r="I631" s="27" t="s">
        <v>2912</v>
      </c>
      <c r="J631" s="23" t="s">
        <v>1273</v>
      </c>
      <c r="K631" s="102"/>
      <c r="L631" s="86" t="s">
        <v>2108</v>
      </c>
    </row>
    <row r="632" spans="1:12" s="41" customFormat="1" ht="31.2" customHeight="1" x14ac:dyDescent="0.2">
      <c r="A632" s="111" t="s">
        <v>2193</v>
      </c>
      <c r="B632" s="107" t="s">
        <v>12</v>
      </c>
      <c r="C632" s="116" t="s">
        <v>2194</v>
      </c>
      <c r="D632" s="105">
        <v>1995</v>
      </c>
      <c r="E632" s="132" t="s">
        <v>2195</v>
      </c>
      <c r="F632" s="125" t="s">
        <v>2196</v>
      </c>
      <c r="G632" s="109" t="str">
        <f>HYPERLINK("https://www.lyellcollection.org/toc/sp/82/1")</f>
        <v>https://www.lyellcollection.org/toc/sp/82/1</v>
      </c>
      <c r="H632" s="110" t="s">
        <v>70</v>
      </c>
      <c r="I632" s="27" t="s">
        <v>2912</v>
      </c>
      <c r="J632" s="23" t="s">
        <v>1273</v>
      </c>
      <c r="K632" s="102"/>
      <c r="L632" s="86" t="s">
        <v>2108</v>
      </c>
    </row>
    <row r="633" spans="1:12" s="41" customFormat="1" ht="31.2" customHeight="1" x14ac:dyDescent="0.2">
      <c r="A633" s="111" t="s">
        <v>2197</v>
      </c>
      <c r="B633" s="107" t="s">
        <v>12</v>
      </c>
      <c r="C633" s="116" t="s">
        <v>2198</v>
      </c>
      <c r="D633" s="105">
        <v>1995</v>
      </c>
      <c r="E633" s="132" t="s">
        <v>2199</v>
      </c>
      <c r="F633" s="125" t="s">
        <v>2200</v>
      </c>
      <c r="G633" s="109" t="str">
        <f>HYPERLINK("https://www.lyellcollection.org/toc/sp/80/1")</f>
        <v>https://www.lyellcollection.org/toc/sp/80/1</v>
      </c>
      <c r="H633" s="110" t="s">
        <v>70</v>
      </c>
      <c r="I633" s="27" t="s">
        <v>2912</v>
      </c>
      <c r="J633" s="23" t="s">
        <v>1273</v>
      </c>
      <c r="K633" s="102" t="e">
        <v>#N/A</v>
      </c>
      <c r="L633" s="86" t="s">
        <v>2108</v>
      </c>
    </row>
    <row r="634" spans="1:12" s="41" customFormat="1" ht="31.2" customHeight="1" x14ac:dyDescent="0.2">
      <c r="A634" s="111" t="s">
        <v>2117</v>
      </c>
      <c r="B634" s="116" t="s">
        <v>220</v>
      </c>
      <c r="C634" s="116" t="s">
        <v>2118</v>
      </c>
      <c r="D634" s="105">
        <v>1995</v>
      </c>
      <c r="E634" s="105" t="s">
        <v>2119</v>
      </c>
      <c r="F634" s="105" t="s">
        <v>2120</v>
      </c>
      <c r="G634" s="112" t="s">
        <v>79</v>
      </c>
      <c r="H634" s="191"/>
      <c r="I634" s="192"/>
      <c r="J634" s="23" t="s">
        <v>1077</v>
      </c>
      <c r="K634" s="102" t="e">
        <v>#N/A</v>
      </c>
      <c r="L634" s="53"/>
    </row>
    <row r="635" spans="1:12" s="41" customFormat="1" ht="31.2" customHeight="1" x14ac:dyDescent="0.2">
      <c r="A635" s="111" t="s">
        <v>2121</v>
      </c>
      <c r="B635" s="116" t="s">
        <v>220</v>
      </c>
      <c r="C635" s="116" t="s">
        <v>2122</v>
      </c>
      <c r="D635" s="105">
        <v>1995</v>
      </c>
      <c r="E635" s="105" t="s">
        <v>2123</v>
      </c>
      <c r="F635" s="105" t="s">
        <v>2124</v>
      </c>
      <c r="G635" s="112" t="s">
        <v>79</v>
      </c>
      <c r="H635" s="191"/>
      <c r="I635" s="192"/>
      <c r="J635" s="23" t="s">
        <v>1077</v>
      </c>
      <c r="K635" s="102" t="e">
        <v>#N/A</v>
      </c>
      <c r="L635" s="53"/>
    </row>
    <row r="636" spans="1:12" s="41" customFormat="1" ht="31.2" customHeight="1" x14ac:dyDescent="0.2">
      <c r="A636" s="121" t="s">
        <v>2201</v>
      </c>
      <c r="B636" s="113" t="s">
        <v>39</v>
      </c>
      <c r="C636" s="116" t="s">
        <v>2202</v>
      </c>
      <c r="D636" s="105">
        <v>1995</v>
      </c>
      <c r="E636" s="132" t="s">
        <v>2203</v>
      </c>
      <c r="F636" s="125" t="s">
        <v>2204</v>
      </c>
      <c r="G636" s="109" t="str">
        <f>HYPERLINK("https://www.lyellcollection.org/toc/mem/16/1")</f>
        <v>https://www.lyellcollection.org/toc/mem/16/1</v>
      </c>
      <c r="H636" s="110" t="s">
        <v>70</v>
      </c>
      <c r="I636" s="27" t="s">
        <v>2912</v>
      </c>
      <c r="J636" s="23" t="s">
        <v>1273</v>
      </c>
      <c r="K636" s="102" t="e">
        <v>#N/A</v>
      </c>
      <c r="L636" s="53"/>
    </row>
    <row r="637" spans="1:12" s="41" customFormat="1" ht="31.2" customHeight="1" x14ac:dyDescent="0.2">
      <c r="A637" s="111" t="s">
        <v>2205</v>
      </c>
      <c r="B637" s="107" t="s">
        <v>12</v>
      </c>
      <c r="C637" s="116" t="s">
        <v>2206</v>
      </c>
      <c r="D637" s="105">
        <v>1995</v>
      </c>
      <c r="E637" s="132" t="s">
        <v>2207</v>
      </c>
      <c r="F637" s="125" t="s">
        <v>2208</v>
      </c>
      <c r="G637" s="109" t="str">
        <f>HYPERLINK("https://www.lyellcollection.org/toc/sp/83/1")</f>
        <v>https://www.lyellcollection.org/toc/sp/83/1</v>
      </c>
      <c r="H637" s="110" t="s">
        <v>70</v>
      </c>
      <c r="I637" s="27" t="s">
        <v>2912</v>
      </c>
      <c r="J637" s="23" t="s">
        <v>1077</v>
      </c>
      <c r="K637" s="102" t="e">
        <v>#N/A</v>
      </c>
      <c r="L637" s="86" t="s">
        <v>2108</v>
      </c>
    </row>
    <row r="638" spans="1:12" s="41" customFormat="1" ht="31.2" customHeight="1" x14ac:dyDescent="0.2">
      <c r="A638" s="111" t="s">
        <v>2209</v>
      </c>
      <c r="B638" s="122" t="s">
        <v>76</v>
      </c>
      <c r="C638" s="116" t="s">
        <v>2210</v>
      </c>
      <c r="D638" s="105">
        <v>1994</v>
      </c>
      <c r="E638" s="105" t="s">
        <v>2211</v>
      </c>
      <c r="F638" s="105" t="s">
        <v>2212</v>
      </c>
      <c r="G638" s="112" t="s">
        <v>79</v>
      </c>
      <c r="H638" s="191"/>
      <c r="I638" s="192"/>
      <c r="J638" s="23" t="s">
        <v>1273</v>
      </c>
      <c r="K638" s="102">
        <v>18</v>
      </c>
      <c r="L638" s="53"/>
    </row>
    <row r="639" spans="1:12" s="41" customFormat="1" ht="31.2" customHeight="1" x14ac:dyDescent="0.2">
      <c r="A639" s="121" t="s">
        <v>2221</v>
      </c>
      <c r="B639" s="107" t="s">
        <v>12</v>
      </c>
      <c r="C639" s="116" t="s">
        <v>2222</v>
      </c>
      <c r="D639" s="105">
        <v>1994</v>
      </c>
      <c r="E639" s="132" t="s">
        <v>2223</v>
      </c>
      <c r="F639" s="125" t="s">
        <v>2224</v>
      </c>
      <c r="G639" s="109" t="str">
        <f>HYPERLINK("https://www.lyellcollection.org/toc/sp/81/1")</f>
        <v>https://www.lyellcollection.org/toc/sp/81/1</v>
      </c>
      <c r="H639" s="110" t="s">
        <v>70</v>
      </c>
      <c r="I639" s="27" t="s">
        <v>2912</v>
      </c>
      <c r="J639" s="23" t="s">
        <v>1273</v>
      </c>
      <c r="K639" s="102"/>
      <c r="L639" s="86" t="s">
        <v>2108</v>
      </c>
    </row>
    <row r="640" spans="1:12" s="41" customFormat="1" ht="31.2" customHeight="1" x14ac:dyDescent="0.2">
      <c r="A640" s="121" t="s">
        <v>2225</v>
      </c>
      <c r="B640" s="107" t="s">
        <v>12</v>
      </c>
      <c r="C640" s="116" t="s">
        <v>2226</v>
      </c>
      <c r="D640" s="105">
        <v>1994</v>
      </c>
      <c r="E640" s="132" t="s">
        <v>2227</v>
      </c>
      <c r="F640" s="125" t="s">
        <v>2228</v>
      </c>
      <c r="G640" s="109" t="str">
        <f>HYPERLINK("https://www.lyellcollection.org/toc/sp/79/1")</f>
        <v>https://www.lyellcollection.org/toc/sp/79/1</v>
      </c>
      <c r="H640" s="110" t="s">
        <v>70</v>
      </c>
      <c r="I640" s="27" t="s">
        <v>2912</v>
      </c>
      <c r="J640" s="23" t="s">
        <v>1273</v>
      </c>
      <c r="K640" s="102"/>
      <c r="L640" s="86" t="s">
        <v>2108</v>
      </c>
    </row>
    <row r="641" spans="1:12" s="41" customFormat="1" ht="31.2" customHeight="1" x14ac:dyDescent="0.2">
      <c r="A641" s="111" t="s">
        <v>2229</v>
      </c>
      <c r="B641" s="107" t="s">
        <v>12</v>
      </c>
      <c r="C641" s="116" t="s">
        <v>2230</v>
      </c>
      <c r="D641" s="105">
        <v>1994</v>
      </c>
      <c r="E641" s="132" t="s">
        <v>2231</v>
      </c>
      <c r="F641" s="125" t="s">
        <v>2232</v>
      </c>
      <c r="G641" s="109" t="str">
        <f>HYPERLINK("https://www.lyellcollection.org/toc/sp/78/1")</f>
        <v>https://www.lyellcollection.org/toc/sp/78/1</v>
      </c>
      <c r="H641" s="110" t="s">
        <v>70</v>
      </c>
      <c r="I641" s="27" t="s">
        <v>2912</v>
      </c>
      <c r="J641" s="23" t="s">
        <v>1273</v>
      </c>
      <c r="K641" s="102" t="e">
        <v>#N/A</v>
      </c>
      <c r="L641" s="86" t="s">
        <v>2108</v>
      </c>
    </row>
    <row r="642" spans="1:12" s="41" customFormat="1" ht="31.2" customHeight="1" x14ac:dyDescent="0.2">
      <c r="A642" s="121" t="s">
        <v>2233</v>
      </c>
      <c r="B642" s="107" t="s">
        <v>12</v>
      </c>
      <c r="C642" s="116" t="s">
        <v>2234</v>
      </c>
      <c r="D642" s="105">
        <v>1994</v>
      </c>
      <c r="E642" s="132" t="s">
        <v>2235</v>
      </c>
      <c r="F642" s="125" t="s">
        <v>2236</v>
      </c>
      <c r="G642" s="109" t="str">
        <f>HYPERLINK("https://www.lyellcollection.org/toc/sp/77/1")</f>
        <v>https://www.lyellcollection.org/toc/sp/77/1</v>
      </c>
      <c r="H642" s="110" t="s">
        <v>70</v>
      </c>
      <c r="I642" s="27" t="s">
        <v>2912</v>
      </c>
      <c r="J642" s="23" t="s">
        <v>1273</v>
      </c>
      <c r="K642" s="102"/>
      <c r="L642" s="86" t="s">
        <v>2108</v>
      </c>
    </row>
    <row r="643" spans="1:12" s="41" customFormat="1" ht="31.2" customHeight="1" x14ac:dyDescent="0.2">
      <c r="A643" s="111" t="s">
        <v>2213</v>
      </c>
      <c r="B643" s="116" t="s">
        <v>220</v>
      </c>
      <c r="C643" s="116" t="s">
        <v>2214</v>
      </c>
      <c r="D643" s="105">
        <v>1994</v>
      </c>
      <c r="E643" s="105" t="s">
        <v>2215</v>
      </c>
      <c r="F643" s="105" t="s">
        <v>2216</v>
      </c>
      <c r="G643" s="112" t="s">
        <v>79</v>
      </c>
      <c r="H643" s="191"/>
      <c r="I643" s="192"/>
      <c r="J643" s="23" t="s">
        <v>1273</v>
      </c>
      <c r="K643" s="102"/>
      <c r="L643" s="53"/>
    </row>
    <row r="644" spans="1:12" s="41" customFormat="1" ht="31.2" customHeight="1" x14ac:dyDescent="0.2">
      <c r="A644" s="111" t="s">
        <v>2217</v>
      </c>
      <c r="B644" s="116" t="s">
        <v>220</v>
      </c>
      <c r="C644" s="116" t="s">
        <v>2218</v>
      </c>
      <c r="D644" s="105">
        <v>1994</v>
      </c>
      <c r="E644" s="105" t="s">
        <v>2219</v>
      </c>
      <c r="F644" s="105" t="s">
        <v>2220</v>
      </c>
      <c r="G644" s="112" t="s">
        <v>79</v>
      </c>
      <c r="H644" s="191"/>
      <c r="I644" s="192"/>
      <c r="J644" s="23" t="s">
        <v>1077</v>
      </c>
      <c r="K644" s="102" t="e">
        <v>#N/A</v>
      </c>
      <c r="L644" s="53"/>
    </row>
    <row r="645" spans="1:12" s="41" customFormat="1" ht="31.2" customHeight="1" x14ac:dyDescent="0.2">
      <c r="A645" s="111" t="s">
        <v>2237</v>
      </c>
      <c r="B645" s="113" t="s">
        <v>39</v>
      </c>
      <c r="C645" s="116" t="s">
        <v>2238</v>
      </c>
      <c r="D645" s="105">
        <v>1994</v>
      </c>
      <c r="E645" s="132" t="s">
        <v>2239</v>
      </c>
      <c r="F645" s="125" t="s">
        <v>2240</v>
      </c>
      <c r="G645" s="109" t="str">
        <f>HYPERLINK("https://www.lyellcollection.org/toc/mem/15/1")</f>
        <v>https://www.lyellcollection.org/toc/mem/15/1</v>
      </c>
      <c r="H645" s="110" t="s">
        <v>70</v>
      </c>
      <c r="I645" s="27" t="s">
        <v>2912</v>
      </c>
      <c r="J645" s="23" t="s">
        <v>1077</v>
      </c>
      <c r="K645" s="102" t="e">
        <v>#N/A</v>
      </c>
      <c r="L645" s="53"/>
    </row>
    <row r="646" spans="1:12" s="41" customFormat="1" ht="31.2" customHeight="1" x14ac:dyDescent="0.2">
      <c r="A646" s="111" t="s">
        <v>2241</v>
      </c>
      <c r="B646" s="107" t="s">
        <v>43</v>
      </c>
      <c r="C646" s="106" t="s">
        <v>2242</v>
      </c>
      <c r="D646" s="105">
        <v>1993</v>
      </c>
      <c r="E646" s="105" t="s">
        <v>2243</v>
      </c>
      <c r="F646" s="105" t="s">
        <v>2244</v>
      </c>
      <c r="G646" s="95" t="s">
        <v>2966</v>
      </c>
      <c r="H646" s="191"/>
      <c r="I646" s="192"/>
      <c r="J646" s="23" t="s">
        <v>1077</v>
      </c>
      <c r="K646" s="102" t="e">
        <v>#N/A</v>
      </c>
      <c r="L646" s="53"/>
    </row>
    <row r="647" spans="1:12" s="41" customFormat="1" ht="31.2" customHeight="1" x14ac:dyDescent="0.2">
      <c r="A647" s="111" t="s">
        <v>2248</v>
      </c>
      <c r="B647" s="107" t="s">
        <v>12</v>
      </c>
      <c r="C647" s="116" t="s">
        <v>2249</v>
      </c>
      <c r="D647" s="105">
        <v>1993</v>
      </c>
      <c r="E647" s="132" t="s">
        <v>2250</v>
      </c>
      <c r="F647" s="125" t="s">
        <v>2251</v>
      </c>
      <c r="G647" s="109" t="str">
        <f>HYPERLINK("https://www.lyellcollection.org/toc/sp/76/1")</f>
        <v>https://www.lyellcollection.org/toc/sp/76/1</v>
      </c>
      <c r="H647" s="110" t="s">
        <v>70</v>
      </c>
      <c r="I647" s="27" t="s">
        <v>2912</v>
      </c>
      <c r="J647" s="23" t="s">
        <v>1077</v>
      </c>
      <c r="K647" s="102" t="e">
        <v>#N/A</v>
      </c>
      <c r="L647" s="86" t="s">
        <v>2108</v>
      </c>
    </row>
    <row r="648" spans="1:12" s="41" customFormat="1" ht="31.2" customHeight="1" x14ac:dyDescent="0.2">
      <c r="A648" s="121" t="s">
        <v>2252</v>
      </c>
      <c r="B648" s="107" t="s">
        <v>12</v>
      </c>
      <c r="C648" s="116" t="s">
        <v>2253</v>
      </c>
      <c r="D648" s="105">
        <v>1993</v>
      </c>
      <c r="E648" s="132" t="s">
        <v>2254</v>
      </c>
      <c r="F648" s="125" t="s">
        <v>2255</v>
      </c>
      <c r="G648" s="109" t="str">
        <f>HYPERLINK("https://www.lyellcollection.org/toc/sp/75/1")</f>
        <v>https://www.lyellcollection.org/toc/sp/75/1</v>
      </c>
      <c r="H648" s="110" t="s">
        <v>70</v>
      </c>
      <c r="I648" s="27" t="s">
        <v>2912</v>
      </c>
      <c r="J648" s="23" t="s">
        <v>1077</v>
      </c>
      <c r="K648" s="102" t="e">
        <v>#N/A</v>
      </c>
      <c r="L648" s="86" t="s">
        <v>2108</v>
      </c>
    </row>
    <row r="649" spans="1:12" s="41" customFormat="1" ht="31.2" customHeight="1" x14ac:dyDescent="0.2">
      <c r="A649" s="111" t="s">
        <v>2256</v>
      </c>
      <c r="B649" s="107" t="s">
        <v>12</v>
      </c>
      <c r="C649" s="116" t="s">
        <v>2257</v>
      </c>
      <c r="D649" s="105">
        <v>1993</v>
      </c>
      <c r="E649" s="132" t="s">
        <v>2258</v>
      </c>
      <c r="F649" s="125" t="s">
        <v>2259</v>
      </c>
      <c r="G649" s="109" t="str">
        <f>HYPERLINK("https://www.lyellcollection.org/toc/sp/74/1")</f>
        <v>https://www.lyellcollection.org/toc/sp/74/1</v>
      </c>
      <c r="H649" s="110" t="s">
        <v>70</v>
      </c>
      <c r="I649" s="27" t="s">
        <v>2912</v>
      </c>
      <c r="J649" s="23" t="s">
        <v>1273</v>
      </c>
      <c r="K649" s="102">
        <v>110</v>
      </c>
      <c r="L649" s="86" t="s">
        <v>2108</v>
      </c>
    </row>
    <row r="650" spans="1:12" s="41" customFormat="1" ht="31.2" customHeight="1" x14ac:dyDescent="0.2">
      <c r="A650" s="121" t="s">
        <v>2260</v>
      </c>
      <c r="B650" s="107" t="s">
        <v>12</v>
      </c>
      <c r="C650" s="106" t="s">
        <v>2261</v>
      </c>
      <c r="D650" s="105">
        <v>1993</v>
      </c>
      <c r="E650" s="132" t="s">
        <v>2262</v>
      </c>
      <c r="F650" s="125" t="s">
        <v>2263</v>
      </c>
      <c r="G650" s="109" t="str">
        <f>HYPERLINK("https://www.lyellcollection.org/toc/sp/73/1")</f>
        <v>https://www.lyellcollection.org/toc/sp/73/1</v>
      </c>
      <c r="H650" s="110" t="s">
        <v>70</v>
      </c>
      <c r="I650" s="27" t="s">
        <v>2912</v>
      </c>
      <c r="J650" s="23" t="s">
        <v>1273</v>
      </c>
      <c r="K650" s="102">
        <v>90</v>
      </c>
      <c r="L650" s="86" t="s">
        <v>2108</v>
      </c>
    </row>
    <row r="651" spans="1:12" s="41" customFormat="1" ht="31.2" customHeight="1" x14ac:dyDescent="0.2">
      <c r="A651" s="111" t="s">
        <v>2264</v>
      </c>
      <c r="B651" s="107" t="s">
        <v>12</v>
      </c>
      <c r="C651" s="116" t="s">
        <v>2265</v>
      </c>
      <c r="D651" s="105">
        <v>1993</v>
      </c>
      <c r="E651" s="132" t="s">
        <v>2266</v>
      </c>
      <c r="F651" s="125" t="s">
        <v>2267</v>
      </c>
      <c r="G651" s="109" t="str">
        <f>HYPERLINK("https://www.lyellcollection.org/toc/sp/72/1")</f>
        <v>https://www.lyellcollection.org/toc/sp/72/1</v>
      </c>
      <c r="H651" s="110" t="s">
        <v>70</v>
      </c>
      <c r="I651" s="27" t="s">
        <v>2912</v>
      </c>
      <c r="J651" s="23" t="s">
        <v>71</v>
      </c>
      <c r="K651" s="102">
        <v>90</v>
      </c>
      <c r="L651" s="86" t="s">
        <v>2108</v>
      </c>
    </row>
    <row r="652" spans="1:12" s="41" customFormat="1" ht="31.2" customHeight="1" x14ac:dyDescent="0.2">
      <c r="A652" s="121" t="s">
        <v>2268</v>
      </c>
      <c r="B652" s="107" t="s">
        <v>12</v>
      </c>
      <c r="C652" s="116" t="s">
        <v>2269</v>
      </c>
      <c r="D652" s="105">
        <v>1993</v>
      </c>
      <c r="E652" s="132" t="s">
        <v>2270</v>
      </c>
      <c r="F652" s="125" t="s">
        <v>2271</v>
      </c>
      <c r="G652" s="109" t="str">
        <f>HYPERLINK("https://www.lyellcollection.org/toc/sp/71/1")</f>
        <v>https://www.lyellcollection.org/toc/sp/71/1</v>
      </c>
      <c r="H652" s="110" t="s">
        <v>70</v>
      </c>
      <c r="I652" s="27" t="s">
        <v>2912</v>
      </c>
      <c r="J652" s="23" t="s">
        <v>1273</v>
      </c>
      <c r="K652" s="102">
        <v>85</v>
      </c>
      <c r="L652" s="86" t="s">
        <v>2108</v>
      </c>
    </row>
    <row r="653" spans="1:12" s="41" customFormat="1" ht="31.2" customHeight="1" x14ac:dyDescent="0.2">
      <c r="A653" s="111" t="s">
        <v>2272</v>
      </c>
      <c r="B653" s="107" t="s">
        <v>12</v>
      </c>
      <c r="C653" s="116" t="s">
        <v>2273</v>
      </c>
      <c r="D653" s="105">
        <v>1993</v>
      </c>
      <c r="E653" s="132" t="s">
        <v>2274</v>
      </c>
      <c r="F653" s="125" t="s">
        <v>2275</v>
      </c>
      <c r="G653" s="109" t="str">
        <f>HYPERLINK("https://www.lyellcollection.org/toc/sp/70/1")</f>
        <v>https://www.lyellcollection.org/toc/sp/70/1</v>
      </c>
      <c r="H653" s="110" t="s">
        <v>70</v>
      </c>
      <c r="I653" s="27" t="s">
        <v>2912</v>
      </c>
      <c r="J653" s="23" t="s">
        <v>1273</v>
      </c>
      <c r="K653" s="102">
        <v>80</v>
      </c>
      <c r="L653" s="86" t="s">
        <v>2108</v>
      </c>
    </row>
    <row r="654" spans="1:12" s="41" customFormat="1" ht="31.2" customHeight="1" x14ac:dyDescent="0.2">
      <c r="A654" s="111" t="s">
        <v>14</v>
      </c>
      <c r="B654" s="107" t="s">
        <v>43</v>
      </c>
      <c r="C654" s="106" t="s">
        <v>2246</v>
      </c>
      <c r="D654" s="105">
        <v>1993</v>
      </c>
      <c r="E654" s="105" t="s">
        <v>14</v>
      </c>
      <c r="F654" s="105" t="s">
        <v>14</v>
      </c>
      <c r="G654" s="95" t="s">
        <v>2247</v>
      </c>
      <c r="H654" s="191"/>
      <c r="I654" s="192"/>
      <c r="J654" s="23" t="s">
        <v>1077</v>
      </c>
      <c r="K654" s="102" t="e">
        <v>#N/A</v>
      </c>
      <c r="L654" s="53"/>
    </row>
    <row r="655" spans="1:12" s="41" customFormat="1" ht="31.2" customHeight="1" x14ac:dyDescent="0.2">
      <c r="A655" s="111" t="s">
        <v>2276</v>
      </c>
      <c r="B655" s="107" t="s">
        <v>423</v>
      </c>
      <c r="C655" s="116" t="s">
        <v>2277</v>
      </c>
      <c r="D655" s="105">
        <v>1993</v>
      </c>
      <c r="E655" s="105" t="s">
        <v>2278</v>
      </c>
      <c r="F655" s="105" t="s">
        <v>2279</v>
      </c>
      <c r="G655" s="109" t="str">
        <f>HYPERLINK("https://www.lyellcollection.org/toc/pgc/4/1")</f>
        <v>https://www.lyellcollection.org/toc/pgc/4/1</v>
      </c>
      <c r="H655" s="110" t="s">
        <v>70</v>
      </c>
      <c r="I655" s="27" t="s">
        <v>2912</v>
      </c>
      <c r="J655" s="23" t="s">
        <v>1077</v>
      </c>
      <c r="K655" s="102" t="e">
        <v>#N/A</v>
      </c>
      <c r="L655" s="53"/>
    </row>
    <row r="656" spans="1:12" s="41" customFormat="1" ht="31.2" customHeight="1" x14ac:dyDescent="0.2">
      <c r="A656" s="121" t="s">
        <v>2280</v>
      </c>
      <c r="B656" s="122" t="s">
        <v>76</v>
      </c>
      <c r="C656" s="122" t="s">
        <v>2281</v>
      </c>
      <c r="D656" s="127">
        <v>1992</v>
      </c>
      <c r="E656" s="127" t="s">
        <v>2282</v>
      </c>
      <c r="F656" s="127" t="s">
        <v>2283</v>
      </c>
      <c r="G656" s="112" t="s">
        <v>79</v>
      </c>
      <c r="H656" s="191"/>
      <c r="I656" s="192"/>
      <c r="J656" s="23" t="s">
        <v>71</v>
      </c>
      <c r="K656" s="102">
        <v>18</v>
      </c>
      <c r="L656" s="53"/>
    </row>
    <row r="657" spans="1:12" s="41" customFormat="1" ht="31.2" customHeight="1" x14ac:dyDescent="0.2">
      <c r="A657" s="121" t="s">
        <v>2292</v>
      </c>
      <c r="B657" s="107" t="s">
        <v>12</v>
      </c>
      <c r="C657" s="116" t="s">
        <v>2293</v>
      </c>
      <c r="D657" s="105">
        <v>1992</v>
      </c>
      <c r="E657" s="132" t="s">
        <v>2294</v>
      </c>
      <c r="F657" s="125" t="s">
        <v>2295</v>
      </c>
      <c r="G657" s="109" t="str">
        <f>HYPERLINK("https://www.lyellcollection.org/toc/sp/69/1")</f>
        <v>https://www.lyellcollection.org/toc/sp/69/1</v>
      </c>
      <c r="H657" s="110" t="s">
        <v>70</v>
      </c>
      <c r="I657" s="27" t="s">
        <v>2912</v>
      </c>
      <c r="J657" s="23" t="s">
        <v>1273</v>
      </c>
      <c r="K657" s="102"/>
      <c r="L657" s="86" t="s">
        <v>2108</v>
      </c>
    </row>
    <row r="658" spans="1:12" s="41" customFormat="1" ht="31.2" customHeight="1" x14ac:dyDescent="0.2">
      <c r="A658" s="111" t="s">
        <v>2296</v>
      </c>
      <c r="B658" s="107" t="s">
        <v>12</v>
      </c>
      <c r="C658" s="116" t="s">
        <v>2297</v>
      </c>
      <c r="D658" s="105">
        <v>1992</v>
      </c>
      <c r="E658" s="132" t="s">
        <v>2298</v>
      </c>
      <c r="F658" s="125" t="s">
        <v>2299</v>
      </c>
      <c r="G658" s="109" t="str">
        <f>HYPERLINK("https://www.lyellcollection.org/toc/sp/68/1")</f>
        <v>https://www.lyellcollection.org/toc/sp/68/1</v>
      </c>
      <c r="H658" s="110" t="s">
        <v>70</v>
      </c>
      <c r="I658" s="27" t="s">
        <v>2912</v>
      </c>
      <c r="J658" s="23" t="s">
        <v>1273</v>
      </c>
      <c r="K658" s="102">
        <v>100</v>
      </c>
      <c r="L658" s="86" t="s">
        <v>2108</v>
      </c>
    </row>
    <row r="659" spans="1:12" s="41" customFormat="1" ht="31.2" customHeight="1" x14ac:dyDescent="0.2">
      <c r="A659" s="121" t="s">
        <v>2300</v>
      </c>
      <c r="B659" s="107" t="s">
        <v>12</v>
      </c>
      <c r="C659" s="116" t="s">
        <v>2301</v>
      </c>
      <c r="D659" s="105">
        <v>1992</v>
      </c>
      <c r="E659" s="132" t="s">
        <v>2302</v>
      </c>
      <c r="F659" s="125" t="s">
        <v>2303</v>
      </c>
      <c r="G659" s="109" t="str">
        <f>HYPERLINK("https://www.lyellcollection.org/toc/sp/67/1")</f>
        <v>https://www.lyellcollection.org/toc/sp/67/1</v>
      </c>
      <c r="H659" s="110" t="s">
        <v>70</v>
      </c>
      <c r="I659" s="27" t="s">
        <v>2912</v>
      </c>
      <c r="J659" s="23" t="s">
        <v>1273</v>
      </c>
      <c r="K659" s="102" t="e">
        <v>#N/A</v>
      </c>
      <c r="L659" s="86" t="s">
        <v>2108</v>
      </c>
    </row>
    <row r="660" spans="1:12" s="41" customFormat="1" ht="31.2" customHeight="1" x14ac:dyDescent="0.2">
      <c r="A660" s="111" t="s">
        <v>2304</v>
      </c>
      <c r="B660" s="107" t="s">
        <v>12</v>
      </c>
      <c r="C660" s="116" t="s">
        <v>2305</v>
      </c>
      <c r="D660" s="105">
        <v>1992</v>
      </c>
      <c r="E660" s="132" t="s">
        <v>2306</v>
      </c>
      <c r="F660" s="125" t="s">
        <v>2307</v>
      </c>
      <c r="G660" s="109" t="str">
        <f>HYPERLINK("https://www.lyellcollection.org/toc/sp/66/1")</f>
        <v>https://www.lyellcollection.org/toc/sp/66/1</v>
      </c>
      <c r="H660" s="110" t="s">
        <v>70</v>
      </c>
      <c r="I660" s="27" t="s">
        <v>2912</v>
      </c>
      <c r="J660" s="23" t="s">
        <v>1077</v>
      </c>
      <c r="K660" s="102" t="e">
        <v>#N/A</v>
      </c>
      <c r="L660" s="86" t="s">
        <v>2108</v>
      </c>
    </row>
    <row r="661" spans="1:12" s="41" customFormat="1" ht="31.2" customHeight="1" x14ac:dyDescent="0.2">
      <c r="A661" s="121" t="s">
        <v>2308</v>
      </c>
      <c r="B661" s="107" t="s">
        <v>12</v>
      </c>
      <c r="C661" s="116" t="s">
        <v>2309</v>
      </c>
      <c r="D661" s="105">
        <v>1992</v>
      </c>
      <c r="E661" s="132" t="s">
        <v>2310</v>
      </c>
      <c r="F661" s="125" t="s">
        <v>2311</v>
      </c>
      <c r="G661" s="109" t="str">
        <f>HYPERLINK("https://www.lyellcollection.org/toc/sp/65/1")</f>
        <v>https://www.lyellcollection.org/toc/sp/65/1</v>
      </c>
      <c r="H661" s="110" t="s">
        <v>70</v>
      </c>
      <c r="I661" s="27" t="s">
        <v>2912</v>
      </c>
      <c r="J661" s="23" t="s">
        <v>71</v>
      </c>
      <c r="K661" s="102">
        <v>90</v>
      </c>
      <c r="L661" s="86" t="s">
        <v>2108</v>
      </c>
    </row>
    <row r="662" spans="1:12" s="41" customFormat="1" ht="31.2" customHeight="1" x14ac:dyDescent="0.2">
      <c r="A662" s="111" t="s">
        <v>2312</v>
      </c>
      <c r="B662" s="107" t="s">
        <v>12</v>
      </c>
      <c r="C662" s="116" t="s">
        <v>2313</v>
      </c>
      <c r="D662" s="105">
        <v>1992</v>
      </c>
      <c r="E662" s="132" t="s">
        <v>2314</v>
      </c>
      <c r="F662" s="125" t="s">
        <v>2315</v>
      </c>
      <c r="G662" s="109" t="str">
        <f>HYPERLINK("https://www.lyellcollection.org/toc/sp/64/1")</f>
        <v>https://www.lyellcollection.org/toc/sp/64/1</v>
      </c>
      <c r="H662" s="110" t="s">
        <v>70</v>
      </c>
      <c r="I662" s="27" t="s">
        <v>2912</v>
      </c>
      <c r="J662" s="23" t="s">
        <v>1273</v>
      </c>
      <c r="K662" s="102">
        <v>95</v>
      </c>
      <c r="L662" s="86" t="s">
        <v>2108</v>
      </c>
    </row>
    <row r="663" spans="1:12" s="41" customFormat="1" ht="31.2" customHeight="1" x14ac:dyDescent="0.2">
      <c r="A663" s="121" t="s">
        <v>2316</v>
      </c>
      <c r="B663" s="107" t="s">
        <v>12</v>
      </c>
      <c r="C663" s="116" t="s">
        <v>2317</v>
      </c>
      <c r="D663" s="105">
        <v>1992</v>
      </c>
      <c r="E663" s="132" t="s">
        <v>2318</v>
      </c>
      <c r="F663" s="125" t="s">
        <v>2319</v>
      </c>
      <c r="G663" s="109" t="str">
        <f>HYPERLINK("https://www.lyellcollection.org/toc/sp/63/1")</f>
        <v>https://www.lyellcollection.org/toc/sp/63/1</v>
      </c>
      <c r="H663" s="110" t="s">
        <v>70</v>
      </c>
      <c r="I663" s="27" t="s">
        <v>2912</v>
      </c>
      <c r="J663" s="23" t="s">
        <v>1077</v>
      </c>
      <c r="K663" s="102" t="e">
        <v>#N/A</v>
      </c>
      <c r="L663" s="86" t="s">
        <v>2108</v>
      </c>
    </row>
    <row r="664" spans="1:12" s="41" customFormat="1" ht="31.2" customHeight="1" x14ac:dyDescent="0.2">
      <c r="A664" s="111" t="s">
        <v>2320</v>
      </c>
      <c r="B664" s="107" t="s">
        <v>12</v>
      </c>
      <c r="C664" s="116" t="s">
        <v>2321</v>
      </c>
      <c r="D664" s="105">
        <v>1992</v>
      </c>
      <c r="E664" s="132" t="s">
        <v>2322</v>
      </c>
      <c r="F664" s="125" t="s">
        <v>2323</v>
      </c>
      <c r="G664" s="109" t="str">
        <f>HYPERLINK("https://www.lyellcollection.org/toc/sp/62/1")</f>
        <v>https://www.lyellcollection.org/toc/sp/62/1</v>
      </c>
      <c r="H664" s="110" t="s">
        <v>70</v>
      </c>
      <c r="I664" s="27" t="s">
        <v>2912</v>
      </c>
      <c r="J664" s="23" t="s">
        <v>1077</v>
      </c>
      <c r="K664" s="102" t="e">
        <v>#N/A</v>
      </c>
      <c r="L664" s="86" t="s">
        <v>2108</v>
      </c>
    </row>
    <row r="665" spans="1:12" s="41" customFormat="1" ht="31.2" customHeight="1" x14ac:dyDescent="0.2">
      <c r="A665" s="121" t="s">
        <v>2324</v>
      </c>
      <c r="B665" s="107" t="s">
        <v>12</v>
      </c>
      <c r="C665" s="116" t="s">
        <v>2325</v>
      </c>
      <c r="D665" s="105">
        <v>1992</v>
      </c>
      <c r="E665" s="132" t="s">
        <v>2326</v>
      </c>
      <c r="F665" s="125" t="s">
        <v>2327</v>
      </c>
      <c r="G665" s="109" t="str">
        <f>HYPERLINK("https://www.lyellcollection.org/toc/sp/61/1")</f>
        <v>https://www.lyellcollection.org/toc/sp/61/1</v>
      </c>
      <c r="H665" s="110" t="s">
        <v>70</v>
      </c>
      <c r="I665" s="27" t="s">
        <v>2912</v>
      </c>
      <c r="J665" s="23" t="s">
        <v>1077</v>
      </c>
      <c r="K665" s="102" t="e">
        <v>#N/A</v>
      </c>
      <c r="L665" s="86" t="s">
        <v>2108</v>
      </c>
    </row>
    <row r="666" spans="1:12" s="41" customFormat="1" ht="31.2" customHeight="1" x14ac:dyDescent="0.2">
      <c r="A666" s="111" t="s">
        <v>2328</v>
      </c>
      <c r="B666" s="107" t="s">
        <v>12</v>
      </c>
      <c r="C666" s="116" t="s">
        <v>2329</v>
      </c>
      <c r="D666" s="105">
        <v>1992</v>
      </c>
      <c r="E666" s="132" t="s">
        <v>2330</v>
      </c>
      <c r="F666" s="125" t="s">
        <v>2331</v>
      </c>
      <c r="G666" s="109" t="str">
        <f>HYPERLINK("https://www.lyellcollection.org/toc/sp/60/1")</f>
        <v>https://www.lyellcollection.org/toc/sp/60/1</v>
      </c>
      <c r="H666" s="110" t="s">
        <v>70</v>
      </c>
      <c r="I666" s="27" t="s">
        <v>2912</v>
      </c>
      <c r="J666" s="23" t="s">
        <v>1273</v>
      </c>
      <c r="K666" s="102" t="e">
        <v>#N/A</v>
      </c>
      <c r="L666" s="86" t="s">
        <v>2108</v>
      </c>
    </row>
    <row r="667" spans="1:12" s="41" customFormat="1" ht="31.2" customHeight="1" x14ac:dyDescent="0.2">
      <c r="A667" s="121" t="s">
        <v>2332</v>
      </c>
      <c r="B667" s="107" t="s">
        <v>12</v>
      </c>
      <c r="C667" s="116" t="s">
        <v>2333</v>
      </c>
      <c r="D667" s="105">
        <v>1992</v>
      </c>
      <c r="E667" s="132" t="s">
        <v>2334</v>
      </c>
      <c r="F667" s="125" t="s">
        <v>2335</v>
      </c>
      <c r="G667" s="109" t="str">
        <f>HYPERLINK("https://www.lyellcollection.org/toc/sp/49/1")</f>
        <v>https://www.lyellcollection.org/toc/sp/49/1</v>
      </c>
      <c r="H667" s="110" t="s">
        <v>70</v>
      </c>
      <c r="I667" s="27" t="s">
        <v>2912</v>
      </c>
      <c r="J667" s="23" t="s">
        <v>1077</v>
      </c>
      <c r="K667" s="102" t="e">
        <v>#N/A</v>
      </c>
      <c r="L667" s="86" t="s">
        <v>2108</v>
      </c>
    </row>
    <row r="668" spans="1:12" s="41" customFormat="1" ht="31.2" customHeight="1" x14ac:dyDescent="0.2">
      <c r="A668" s="111" t="s">
        <v>2336</v>
      </c>
      <c r="B668" s="113" t="s">
        <v>39</v>
      </c>
      <c r="C668" s="106" t="s">
        <v>2337</v>
      </c>
      <c r="D668" s="105">
        <v>1992</v>
      </c>
      <c r="E668" s="84" t="s">
        <v>2338</v>
      </c>
      <c r="F668" s="84" t="s">
        <v>2339</v>
      </c>
      <c r="G668" s="109" t="str">
        <f>HYPERLINK("https://www.lyellcollection.org/toc/mem/13/1")</f>
        <v>https://www.lyellcollection.org/toc/mem/13/1</v>
      </c>
      <c r="H668" s="110" t="s">
        <v>70</v>
      </c>
      <c r="I668" s="27" t="s">
        <v>2912</v>
      </c>
      <c r="J668" s="23" t="s">
        <v>1077</v>
      </c>
      <c r="K668" s="102" t="e">
        <v>#N/A</v>
      </c>
      <c r="L668" s="53"/>
    </row>
    <row r="669" spans="1:12" s="41" customFormat="1" ht="31.2" customHeight="1" x14ac:dyDescent="0.2">
      <c r="A669" s="111" t="s">
        <v>2340</v>
      </c>
      <c r="B669" s="113" t="s">
        <v>39</v>
      </c>
      <c r="C669" s="106" t="s">
        <v>2341</v>
      </c>
      <c r="D669" s="105">
        <v>1992</v>
      </c>
      <c r="E669" s="132" t="s">
        <v>2342</v>
      </c>
      <c r="F669" s="125" t="s">
        <v>2343</v>
      </c>
      <c r="G669" s="109" t="str">
        <f>HYPERLINK("https://www.lyellcollection.org/toc/mem/14/1")</f>
        <v>https://www.lyellcollection.org/toc/mem/14/1</v>
      </c>
      <c r="H669" s="110" t="s">
        <v>70</v>
      </c>
      <c r="I669" s="27" t="s">
        <v>2912</v>
      </c>
      <c r="J669" s="23" t="s">
        <v>1077</v>
      </c>
      <c r="K669" s="102" t="e">
        <v>#N/A</v>
      </c>
      <c r="L669" s="53"/>
    </row>
    <row r="670" spans="1:12" s="41" customFormat="1" ht="31.2" customHeight="1" x14ac:dyDescent="0.2">
      <c r="A670" s="111" t="s">
        <v>2284</v>
      </c>
      <c r="B670" s="106" t="s">
        <v>88</v>
      </c>
      <c r="C670" s="266" t="s">
        <v>2285</v>
      </c>
      <c r="D670" s="105">
        <v>1992</v>
      </c>
      <c r="E670" s="105" t="s">
        <v>2286</v>
      </c>
      <c r="F670" s="105" t="s">
        <v>2287</v>
      </c>
      <c r="G670" s="112" t="s">
        <v>79</v>
      </c>
      <c r="H670" s="191"/>
      <c r="I670" s="192"/>
      <c r="J670" s="23" t="s">
        <v>1077</v>
      </c>
      <c r="K670" s="102" t="e">
        <v>#N/A</v>
      </c>
      <c r="L670" s="53"/>
    </row>
    <row r="671" spans="1:12" s="41" customFormat="1" ht="31.2" customHeight="1" x14ac:dyDescent="0.2">
      <c r="A671" s="111" t="s">
        <v>2288</v>
      </c>
      <c r="B671" s="106" t="s">
        <v>88</v>
      </c>
      <c r="C671" s="116" t="s">
        <v>2289</v>
      </c>
      <c r="D671" s="105">
        <v>1992</v>
      </c>
      <c r="E671" s="105" t="s">
        <v>2290</v>
      </c>
      <c r="F671" s="105" t="s">
        <v>2291</v>
      </c>
      <c r="G671" s="112" t="s">
        <v>79</v>
      </c>
      <c r="H671" s="191"/>
      <c r="I671" s="192"/>
      <c r="J671" s="23" t="s">
        <v>1077</v>
      </c>
      <c r="K671" s="102" t="e">
        <v>#N/A</v>
      </c>
      <c r="L671" s="53"/>
    </row>
    <row r="672" spans="1:12" s="41" customFormat="1" ht="31.2" customHeight="1" x14ac:dyDescent="0.2">
      <c r="A672" s="111" t="s">
        <v>2344</v>
      </c>
      <c r="B672" s="122" t="s">
        <v>76</v>
      </c>
      <c r="C672" s="116" t="s">
        <v>2345</v>
      </c>
      <c r="D672" s="105">
        <v>1991</v>
      </c>
      <c r="E672" s="105" t="s">
        <v>2346</v>
      </c>
      <c r="F672" s="105" t="s">
        <v>2347</v>
      </c>
      <c r="G672" s="112" t="s">
        <v>79</v>
      </c>
      <c r="H672" s="191"/>
      <c r="I672" s="192"/>
      <c r="J672" s="23" t="s">
        <v>1077</v>
      </c>
      <c r="K672" s="102" t="e">
        <v>#N/A</v>
      </c>
      <c r="L672" s="53"/>
    </row>
    <row r="673" spans="1:12" s="41" customFormat="1" ht="31.2" customHeight="1" x14ac:dyDescent="0.2">
      <c r="A673" s="111" t="s">
        <v>2356</v>
      </c>
      <c r="B673" s="107" t="s">
        <v>43</v>
      </c>
      <c r="C673" s="106" t="s">
        <v>2357</v>
      </c>
      <c r="D673" s="105">
        <v>1991</v>
      </c>
      <c r="E673" s="105" t="s">
        <v>2358</v>
      </c>
      <c r="F673" s="105" t="s">
        <v>2359</v>
      </c>
      <c r="G673" s="109" t="str">
        <f>HYPERLINK("https://www.lyellcollection.org/toc/egsp/7/1")</f>
        <v>https://www.lyellcollection.org/toc/egsp/7/1</v>
      </c>
      <c r="H673" s="110" t="s">
        <v>70</v>
      </c>
      <c r="I673" s="27" t="s">
        <v>2912</v>
      </c>
      <c r="J673" s="23" t="s">
        <v>1077</v>
      </c>
      <c r="K673" s="102" t="e">
        <v>#N/A</v>
      </c>
      <c r="L673" s="53"/>
    </row>
    <row r="674" spans="1:12" s="41" customFormat="1" ht="31.2" customHeight="1" x14ac:dyDescent="0.2">
      <c r="A674" s="111" t="s">
        <v>2360</v>
      </c>
      <c r="B674" s="107" t="s">
        <v>12</v>
      </c>
      <c r="C674" s="116" t="s">
        <v>2361</v>
      </c>
      <c r="D674" s="105">
        <v>1991</v>
      </c>
      <c r="E674" s="132" t="s">
        <v>2362</v>
      </c>
      <c r="F674" s="125" t="s">
        <v>2363</v>
      </c>
      <c r="G674" s="109" t="str">
        <f>HYPERLINK("https://www.lyellcollection.org/toc/sp/59/1")</f>
        <v>https://www.lyellcollection.org/toc/sp/59/1</v>
      </c>
      <c r="H674" s="110" t="s">
        <v>70</v>
      </c>
      <c r="I674" s="27" t="s">
        <v>2912</v>
      </c>
      <c r="J674" s="23" t="s">
        <v>1077</v>
      </c>
      <c r="K674" s="102" t="e">
        <v>#N/A</v>
      </c>
      <c r="L674" s="86" t="s">
        <v>2108</v>
      </c>
    </row>
    <row r="675" spans="1:12" s="41" customFormat="1" ht="31.2" customHeight="1" x14ac:dyDescent="0.2">
      <c r="A675" s="111" t="s">
        <v>2364</v>
      </c>
      <c r="B675" s="107" t="s">
        <v>12</v>
      </c>
      <c r="C675" s="116" t="s">
        <v>2365</v>
      </c>
      <c r="D675" s="105">
        <v>1991</v>
      </c>
      <c r="E675" s="132" t="s">
        <v>2366</v>
      </c>
      <c r="F675" s="125" t="s">
        <v>2367</v>
      </c>
      <c r="G675" s="109" t="str">
        <f>HYPERLINK("https://www.lyellcollection.org/toc/sp/58/1")</f>
        <v>https://www.lyellcollection.org/toc/sp/58/1</v>
      </c>
      <c r="H675" s="110" t="s">
        <v>70</v>
      </c>
      <c r="I675" s="27" t="s">
        <v>2912</v>
      </c>
      <c r="J675" s="23" t="s">
        <v>1273</v>
      </c>
      <c r="K675" s="102"/>
      <c r="L675" s="86" t="s">
        <v>2108</v>
      </c>
    </row>
    <row r="676" spans="1:12" s="41" customFormat="1" ht="31.2" customHeight="1" x14ac:dyDescent="0.2">
      <c r="A676" s="111" t="s">
        <v>2368</v>
      </c>
      <c r="B676" s="107" t="s">
        <v>12</v>
      </c>
      <c r="C676" s="116" t="s">
        <v>2369</v>
      </c>
      <c r="D676" s="105">
        <v>1991</v>
      </c>
      <c r="E676" s="132" t="s">
        <v>2370</v>
      </c>
      <c r="F676" s="125" t="s">
        <v>2371</v>
      </c>
      <c r="G676" s="109" t="str">
        <f>HYPERLINK("https://www.lyellcollection.org/toc/sp/57/1")</f>
        <v>https://www.lyellcollection.org/toc/sp/57/1</v>
      </c>
      <c r="H676" s="110" t="s">
        <v>70</v>
      </c>
      <c r="I676" s="27" t="s">
        <v>2912</v>
      </c>
      <c r="J676" s="23" t="s">
        <v>1077</v>
      </c>
      <c r="K676" s="102" t="e">
        <v>#N/A</v>
      </c>
      <c r="L676" s="86" t="s">
        <v>2108</v>
      </c>
    </row>
    <row r="677" spans="1:12" s="41" customFormat="1" ht="31.2" customHeight="1" x14ac:dyDescent="0.2">
      <c r="A677" s="111" t="s">
        <v>2372</v>
      </c>
      <c r="B677" s="107" t="s">
        <v>12</v>
      </c>
      <c r="C677" s="116" t="s">
        <v>2373</v>
      </c>
      <c r="D677" s="105">
        <v>1991</v>
      </c>
      <c r="E677" s="132" t="s">
        <v>2374</v>
      </c>
      <c r="F677" s="125" t="s">
        <v>2375</v>
      </c>
      <c r="G677" s="109" t="str">
        <f>HYPERLINK("https://www.lyellcollection.org/toc/sp/56/1")</f>
        <v>https://www.lyellcollection.org/toc/sp/56/1</v>
      </c>
      <c r="H677" s="110" t="s">
        <v>70</v>
      </c>
      <c r="I677" s="27" t="s">
        <v>2912</v>
      </c>
      <c r="J677" s="23" t="s">
        <v>1077</v>
      </c>
      <c r="K677" s="102" t="e">
        <v>#N/A</v>
      </c>
      <c r="L677" s="86" t="s">
        <v>2108</v>
      </c>
    </row>
    <row r="678" spans="1:12" s="41" customFormat="1" ht="31.2" customHeight="1" x14ac:dyDescent="0.2">
      <c r="A678" s="111" t="s">
        <v>2376</v>
      </c>
      <c r="B678" s="113" t="s">
        <v>39</v>
      </c>
      <c r="C678" s="106" t="s">
        <v>2377</v>
      </c>
      <c r="D678" s="105">
        <v>1991</v>
      </c>
      <c r="E678" s="132" t="s">
        <v>2378</v>
      </c>
      <c r="F678" s="125" t="s">
        <v>2379</v>
      </c>
      <c r="G678" s="109" t="str">
        <f>HYPERLINK("https://www.lyellcollection.org/toc/mem/13/1")</f>
        <v>https://www.lyellcollection.org/toc/mem/13/1</v>
      </c>
      <c r="H678" s="110" t="s">
        <v>70</v>
      </c>
      <c r="I678" s="27" t="s">
        <v>2912</v>
      </c>
      <c r="J678" s="23" t="s">
        <v>1273</v>
      </c>
      <c r="K678" s="102">
        <v>295</v>
      </c>
      <c r="L678" s="53"/>
    </row>
    <row r="679" spans="1:12" s="41" customFormat="1" ht="31.2" customHeight="1" x14ac:dyDescent="0.2">
      <c r="A679" s="111" t="s">
        <v>2348</v>
      </c>
      <c r="B679" s="106" t="s">
        <v>88</v>
      </c>
      <c r="C679" s="106" t="s">
        <v>2349</v>
      </c>
      <c r="D679" s="105">
        <v>1991</v>
      </c>
      <c r="E679" s="105" t="s">
        <v>2350</v>
      </c>
      <c r="F679" s="105" t="s">
        <v>2351</v>
      </c>
      <c r="G679" s="112" t="s">
        <v>79</v>
      </c>
      <c r="H679" s="191"/>
      <c r="I679" s="192"/>
      <c r="J679" s="23" t="s">
        <v>1077</v>
      </c>
      <c r="K679" s="102" t="e">
        <v>#N/A</v>
      </c>
      <c r="L679" s="53"/>
    </row>
    <row r="680" spans="1:12" s="41" customFormat="1" ht="31.2" customHeight="1" x14ac:dyDescent="0.2">
      <c r="A680" s="111" t="s">
        <v>2352</v>
      </c>
      <c r="B680" s="106" t="s">
        <v>88</v>
      </c>
      <c r="C680" s="106" t="s">
        <v>2353</v>
      </c>
      <c r="D680" s="105">
        <v>1991</v>
      </c>
      <c r="E680" s="105" t="s">
        <v>2354</v>
      </c>
      <c r="F680" s="105" t="s">
        <v>2355</v>
      </c>
      <c r="G680" s="112" t="s">
        <v>79</v>
      </c>
      <c r="H680" s="191"/>
      <c r="I680" s="192"/>
      <c r="J680" s="23" t="s">
        <v>1077</v>
      </c>
      <c r="K680" s="102" t="e">
        <v>#N/A</v>
      </c>
      <c r="L680" s="53"/>
    </row>
    <row r="681" spans="1:12" s="41" customFormat="1" ht="31.2" customHeight="1" x14ac:dyDescent="0.2">
      <c r="A681" s="111" t="s">
        <v>2380</v>
      </c>
      <c r="B681" s="107" t="s">
        <v>43</v>
      </c>
      <c r="C681" s="106" t="s">
        <v>2381</v>
      </c>
      <c r="D681" s="105">
        <v>1990</v>
      </c>
      <c r="E681" s="105" t="s">
        <v>2382</v>
      </c>
      <c r="F681" s="105" t="s">
        <v>2383</v>
      </c>
      <c r="G681" s="109" t="str">
        <f>HYPERLINK("https://www.lyellcollection.org/toc/egsp/6/1")</f>
        <v>https://www.lyellcollection.org/toc/egsp/6/1</v>
      </c>
      <c r="H681" s="110" t="s">
        <v>70</v>
      </c>
      <c r="I681" s="27" t="s">
        <v>2912</v>
      </c>
      <c r="J681" s="23" t="s">
        <v>1077</v>
      </c>
      <c r="K681" s="102" t="e">
        <v>#N/A</v>
      </c>
      <c r="L681" s="53"/>
    </row>
    <row r="682" spans="1:12" s="41" customFormat="1" ht="31.2" customHeight="1" x14ac:dyDescent="0.2">
      <c r="A682" s="121" t="s">
        <v>2384</v>
      </c>
      <c r="B682" s="107" t="s">
        <v>12</v>
      </c>
      <c r="C682" s="116" t="s">
        <v>2385</v>
      </c>
      <c r="D682" s="105">
        <v>1990</v>
      </c>
      <c r="E682" s="132" t="s">
        <v>2386</v>
      </c>
      <c r="F682" s="125" t="s">
        <v>2387</v>
      </c>
      <c r="G682" s="109" t="str">
        <f>HYPERLINK("https://www.lyellcollection.org/toc/sp/55/1")</f>
        <v>https://www.lyellcollection.org/toc/sp/55/1</v>
      </c>
      <c r="H682" s="110" t="s">
        <v>70</v>
      </c>
      <c r="I682" s="27" t="s">
        <v>2912</v>
      </c>
      <c r="J682" s="23" t="s">
        <v>1077</v>
      </c>
      <c r="K682" s="102" t="e">
        <v>#N/A</v>
      </c>
      <c r="L682" s="86" t="s">
        <v>2108</v>
      </c>
    </row>
    <row r="683" spans="1:12" s="41" customFormat="1" ht="31.2" customHeight="1" x14ac:dyDescent="0.2">
      <c r="A683" s="111" t="s">
        <v>2388</v>
      </c>
      <c r="B683" s="107" t="s">
        <v>12</v>
      </c>
      <c r="C683" s="116" t="s">
        <v>2389</v>
      </c>
      <c r="D683" s="105">
        <v>1990</v>
      </c>
      <c r="E683" s="132" t="s">
        <v>2390</v>
      </c>
      <c r="F683" s="125" t="s">
        <v>2391</v>
      </c>
      <c r="G683" s="109" t="str">
        <f>HYPERLINK("https://www.lyellcollection.org/toc/sp/54/1")</f>
        <v>https://www.lyellcollection.org/toc/sp/54/1</v>
      </c>
      <c r="H683" s="110" t="s">
        <v>70</v>
      </c>
      <c r="I683" s="27" t="s">
        <v>2912</v>
      </c>
      <c r="J683" s="23" t="s">
        <v>1077</v>
      </c>
      <c r="K683" s="102" t="e">
        <v>#N/A</v>
      </c>
      <c r="L683" s="86" t="s">
        <v>2108</v>
      </c>
    </row>
    <row r="684" spans="1:12" s="41" customFormat="1" ht="31.2" customHeight="1" x14ac:dyDescent="0.2">
      <c r="A684" s="121" t="s">
        <v>2392</v>
      </c>
      <c r="B684" s="107" t="s">
        <v>12</v>
      </c>
      <c r="C684" s="116" t="s">
        <v>2393</v>
      </c>
      <c r="D684" s="105">
        <v>1990</v>
      </c>
      <c r="E684" s="132" t="s">
        <v>2394</v>
      </c>
      <c r="F684" s="125" t="s">
        <v>2395</v>
      </c>
      <c r="G684" s="109" t="str">
        <f>HYPERLINK("https://www.lyellcollection.org/toc/sp/53/1")</f>
        <v>https://www.lyellcollection.org/toc/sp/53/1</v>
      </c>
      <c r="H684" s="110" t="s">
        <v>70</v>
      </c>
      <c r="I684" s="27" t="s">
        <v>2912</v>
      </c>
      <c r="J684" s="23" t="s">
        <v>1273</v>
      </c>
      <c r="K684" s="102"/>
      <c r="L684" s="86" t="s">
        <v>2108</v>
      </c>
    </row>
    <row r="685" spans="1:12" s="41" customFormat="1" ht="31.2" customHeight="1" x14ac:dyDescent="0.2">
      <c r="A685" s="111" t="s">
        <v>2396</v>
      </c>
      <c r="B685" s="107" t="s">
        <v>12</v>
      </c>
      <c r="C685" s="116" t="s">
        <v>2397</v>
      </c>
      <c r="D685" s="105">
        <v>1990</v>
      </c>
      <c r="E685" s="132" t="s">
        <v>2398</v>
      </c>
      <c r="F685" s="125" t="s">
        <v>2399</v>
      </c>
      <c r="G685" s="109" t="str">
        <f>HYPERLINK("https://www.lyellcollection.org/toc/sp/52/1")</f>
        <v>https://www.lyellcollection.org/toc/sp/52/1</v>
      </c>
      <c r="H685" s="110" t="s">
        <v>70</v>
      </c>
      <c r="I685" s="27" t="s">
        <v>2912</v>
      </c>
      <c r="J685" s="23" t="s">
        <v>1273</v>
      </c>
      <c r="K685" s="102"/>
      <c r="L685" s="86" t="s">
        <v>2108</v>
      </c>
    </row>
    <row r="686" spans="1:12" s="41" customFormat="1" ht="31.2" customHeight="1" x14ac:dyDescent="0.2">
      <c r="A686" s="121" t="s">
        <v>2400</v>
      </c>
      <c r="B686" s="107" t="s">
        <v>12</v>
      </c>
      <c r="C686" s="116" t="s">
        <v>2401</v>
      </c>
      <c r="D686" s="105">
        <v>1990</v>
      </c>
      <c r="E686" s="132" t="s">
        <v>2402</v>
      </c>
      <c r="F686" s="125" t="s">
        <v>2403</v>
      </c>
      <c r="G686" s="109" t="str">
        <f>HYPERLINK("https://www.lyellcollection.org/toc/sp/51/1")</f>
        <v>https://www.lyellcollection.org/toc/sp/51/1</v>
      </c>
      <c r="H686" s="110" t="s">
        <v>70</v>
      </c>
      <c r="I686" s="27" t="s">
        <v>2912</v>
      </c>
      <c r="J686" s="23" t="s">
        <v>1077</v>
      </c>
      <c r="K686" s="102" t="e">
        <v>#N/A</v>
      </c>
      <c r="L686" s="86" t="s">
        <v>2108</v>
      </c>
    </row>
    <row r="687" spans="1:12" s="41" customFormat="1" ht="31.2" customHeight="1" x14ac:dyDescent="0.2">
      <c r="A687" s="111" t="s">
        <v>2404</v>
      </c>
      <c r="B687" s="107" t="s">
        <v>12</v>
      </c>
      <c r="C687" s="116" t="s">
        <v>2405</v>
      </c>
      <c r="D687" s="105">
        <v>1990</v>
      </c>
      <c r="E687" s="132" t="s">
        <v>2406</v>
      </c>
      <c r="F687" s="125" t="s">
        <v>2407</v>
      </c>
      <c r="G687" s="109" t="str">
        <f>HYPERLINK("https://www.lyellcollection.org/toc/sp/50/1")</f>
        <v>https://www.lyellcollection.org/toc/sp/50/1</v>
      </c>
      <c r="H687" s="110" t="s">
        <v>70</v>
      </c>
      <c r="I687" s="27" t="s">
        <v>2912</v>
      </c>
      <c r="J687" s="23" t="s">
        <v>1077</v>
      </c>
      <c r="K687" s="102" t="e">
        <v>#N/A</v>
      </c>
      <c r="L687" s="86" t="s">
        <v>2108</v>
      </c>
    </row>
    <row r="688" spans="1:12" s="41" customFormat="1" ht="31.2" customHeight="1" x14ac:dyDescent="0.2">
      <c r="A688" s="111" t="s">
        <v>2408</v>
      </c>
      <c r="B688" s="107" t="s">
        <v>12</v>
      </c>
      <c r="C688" s="116" t="s">
        <v>2409</v>
      </c>
      <c r="D688" s="105">
        <v>1990</v>
      </c>
      <c r="E688" s="132" t="s">
        <v>2410</v>
      </c>
      <c r="F688" s="125" t="s">
        <v>2411</v>
      </c>
      <c r="G688" s="109" t="str">
        <f>HYPERLINK("https://www.lyellcollection.org/toc/sp/48/1")</f>
        <v>https://www.lyellcollection.org/toc/sp/48/1</v>
      </c>
      <c r="H688" s="110" t="s">
        <v>70</v>
      </c>
      <c r="I688" s="27" t="s">
        <v>2912</v>
      </c>
      <c r="J688" s="23" t="s">
        <v>1077</v>
      </c>
      <c r="K688" s="102" t="e">
        <v>#N/A</v>
      </c>
      <c r="L688" s="86" t="s">
        <v>2108</v>
      </c>
    </row>
    <row r="689" spans="1:12" s="41" customFormat="1" ht="31.2" customHeight="1" x14ac:dyDescent="0.2">
      <c r="A689" s="111" t="s">
        <v>2412</v>
      </c>
      <c r="B689" s="113" t="s">
        <v>39</v>
      </c>
      <c r="C689" s="106" t="s">
        <v>2413</v>
      </c>
      <c r="D689" s="105">
        <v>1990</v>
      </c>
      <c r="E689" s="132" t="s">
        <v>2414</v>
      </c>
      <c r="F689" s="125" t="s">
        <v>2415</v>
      </c>
      <c r="G689" s="109" t="str">
        <f>HYPERLINK("https://www.lyellcollection.org/toc/mem/12/1")</f>
        <v>https://www.lyellcollection.org/toc/mem/12/1</v>
      </c>
      <c r="H689" s="110" t="s">
        <v>70</v>
      </c>
      <c r="I689" s="27" t="s">
        <v>2912</v>
      </c>
      <c r="J689" s="23" t="s">
        <v>1273</v>
      </c>
      <c r="K689" s="102"/>
      <c r="L689" s="53"/>
    </row>
    <row r="690" spans="1:12" s="41" customFormat="1" ht="31.2" customHeight="1" x14ac:dyDescent="0.2">
      <c r="A690" s="121" t="s">
        <v>2416</v>
      </c>
      <c r="B690" s="122" t="s">
        <v>76</v>
      </c>
      <c r="C690" s="133" t="s">
        <v>2417</v>
      </c>
      <c r="D690" s="127">
        <v>1989</v>
      </c>
      <c r="E690" s="127" t="s">
        <v>2418</v>
      </c>
      <c r="F690" s="127" t="s">
        <v>2419</v>
      </c>
      <c r="G690" s="112" t="s">
        <v>79</v>
      </c>
      <c r="H690" s="191"/>
      <c r="I690" s="192"/>
      <c r="J690" s="23" t="s">
        <v>1273</v>
      </c>
      <c r="K690" s="102" t="e">
        <v>#N/A</v>
      </c>
      <c r="L690" s="53"/>
    </row>
    <row r="691" spans="1:12" s="41" customFormat="1" ht="31.2" customHeight="1" x14ac:dyDescent="0.2">
      <c r="A691" s="121" t="s">
        <v>2420</v>
      </c>
      <c r="B691" s="107" t="s">
        <v>12</v>
      </c>
      <c r="C691" s="116" t="s">
        <v>2421</v>
      </c>
      <c r="D691" s="105">
        <v>1989</v>
      </c>
      <c r="E691" s="84" t="s">
        <v>2422</v>
      </c>
      <c r="F691" s="84" t="s">
        <v>2423</v>
      </c>
      <c r="G691" s="109" t="str">
        <f>HYPERLINK("https://www.lyellcollection.org/toc/sp/47/1")</f>
        <v>https://www.lyellcollection.org/toc/sp/47/1</v>
      </c>
      <c r="H691" s="110" t="s">
        <v>70</v>
      </c>
      <c r="I691" s="27" t="s">
        <v>2912</v>
      </c>
      <c r="J691" s="23" t="s">
        <v>1273</v>
      </c>
      <c r="K691" s="102"/>
      <c r="L691" s="86" t="s">
        <v>2108</v>
      </c>
    </row>
    <row r="692" spans="1:12" s="41" customFormat="1" ht="31.2" customHeight="1" x14ac:dyDescent="0.2">
      <c r="A692" s="111" t="s">
        <v>2424</v>
      </c>
      <c r="B692" s="107" t="s">
        <v>12</v>
      </c>
      <c r="C692" s="116" t="s">
        <v>2425</v>
      </c>
      <c r="D692" s="105">
        <v>1989</v>
      </c>
      <c r="E692" s="84" t="s">
        <v>2426</v>
      </c>
      <c r="F692" s="84" t="s">
        <v>2427</v>
      </c>
      <c r="G692" s="109" t="str">
        <f>HYPERLINK("https://www.lyellcollection.org/toc/sp/46/1")</f>
        <v>https://www.lyellcollection.org/toc/sp/46/1</v>
      </c>
      <c r="H692" s="110" t="s">
        <v>70</v>
      </c>
      <c r="I692" s="27" t="s">
        <v>2912</v>
      </c>
      <c r="J692" s="23" t="s">
        <v>1077</v>
      </c>
      <c r="K692" s="102" t="e">
        <v>#N/A</v>
      </c>
      <c r="L692" s="86" t="s">
        <v>2108</v>
      </c>
    </row>
    <row r="693" spans="1:12" s="41" customFormat="1" ht="31.2" customHeight="1" x14ac:dyDescent="0.2">
      <c r="A693" s="121" t="s">
        <v>2428</v>
      </c>
      <c r="B693" s="107" t="s">
        <v>12</v>
      </c>
      <c r="C693" s="116" t="s">
        <v>2429</v>
      </c>
      <c r="D693" s="105">
        <v>1989</v>
      </c>
      <c r="E693" s="84" t="s">
        <v>2430</v>
      </c>
      <c r="F693" s="84" t="s">
        <v>2431</v>
      </c>
      <c r="G693" s="109" t="str">
        <f>HYPERLINK("https://www.lyellcollection.org/toc/sp/45/1")</f>
        <v>https://www.lyellcollection.org/toc/sp/45/1</v>
      </c>
      <c r="H693" s="110" t="s">
        <v>70</v>
      </c>
      <c r="I693" s="27" t="s">
        <v>2912</v>
      </c>
      <c r="J693" s="23" t="s">
        <v>1077</v>
      </c>
      <c r="K693" s="102" t="e">
        <v>#N/A</v>
      </c>
      <c r="L693" s="86" t="s">
        <v>2108</v>
      </c>
    </row>
    <row r="694" spans="1:12" s="41" customFormat="1" ht="31.2" customHeight="1" x14ac:dyDescent="0.2">
      <c r="A694" s="111" t="s">
        <v>2432</v>
      </c>
      <c r="B694" s="107" t="s">
        <v>12</v>
      </c>
      <c r="C694" s="116" t="s">
        <v>2433</v>
      </c>
      <c r="D694" s="105">
        <v>1989</v>
      </c>
      <c r="E694" s="84" t="s">
        <v>2434</v>
      </c>
      <c r="F694" s="84" t="s">
        <v>2435</v>
      </c>
      <c r="G694" s="109" t="str">
        <f>HYPERLINK("https://www.lyellcollection.org/toc/sp/44/1")</f>
        <v>https://www.lyellcollection.org/toc/sp/44/1</v>
      </c>
      <c r="H694" s="110" t="s">
        <v>70</v>
      </c>
      <c r="I694" s="27" t="s">
        <v>2912</v>
      </c>
      <c r="J694" s="23" t="s">
        <v>1077</v>
      </c>
      <c r="K694" s="102" t="e">
        <v>#N/A</v>
      </c>
      <c r="L694" s="86" t="s">
        <v>2108</v>
      </c>
    </row>
    <row r="695" spans="1:12" s="41" customFormat="1" ht="31.2" customHeight="1" x14ac:dyDescent="0.2">
      <c r="A695" s="121" t="s">
        <v>2436</v>
      </c>
      <c r="B695" s="107" t="s">
        <v>12</v>
      </c>
      <c r="C695" s="116" t="s">
        <v>2437</v>
      </c>
      <c r="D695" s="105">
        <v>1989</v>
      </c>
      <c r="E695" s="84" t="s">
        <v>2438</v>
      </c>
      <c r="F695" s="84" t="s">
        <v>2439</v>
      </c>
      <c r="G695" s="109" t="str">
        <f>HYPERLINK("https://www.lyellcollection.org/toc/sp/43/1")</f>
        <v>https://www.lyellcollection.org/toc/sp/43/1</v>
      </c>
      <c r="H695" s="110" t="s">
        <v>70</v>
      </c>
      <c r="I695" s="27" t="s">
        <v>2912</v>
      </c>
      <c r="J695" s="23" t="s">
        <v>1077</v>
      </c>
      <c r="K695" s="102" t="e">
        <v>#N/A</v>
      </c>
      <c r="L695" s="86" t="s">
        <v>2108</v>
      </c>
    </row>
    <row r="696" spans="1:12" s="41" customFormat="1" ht="31.2" customHeight="1" x14ac:dyDescent="0.2">
      <c r="A696" s="111" t="s">
        <v>2440</v>
      </c>
      <c r="B696" s="107" t="s">
        <v>12</v>
      </c>
      <c r="C696" s="116" t="s">
        <v>2441</v>
      </c>
      <c r="D696" s="105">
        <v>1989</v>
      </c>
      <c r="E696" s="84" t="s">
        <v>2442</v>
      </c>
      <c r="F696" s="84" t="s">
        <v>2443</v>
      </c>
      <c r="G696" s="109" t="str">
        <f>HYPERLINK("https://www.lyellcollection.org/toc/sp/42/1")</f>
        <v>https://www.lyellcollection.org/toc/sp/42/1</v>
      </c>
      <c r="H696" s="110" t="s">
        <v>70</v>
      </c>
      <c r="I696" s="27" t="s">
        <v>2912</v>
      </c>
      <c r="J696" s="23" t="s">
        <v>1077</v>
      </c>
      <c r="K696" s="102" t="e">
        <v>#N/A</v>
      </c>
      <c r="L696" s="86" t="s">
        <v>2108</v>
      </c>
    </row>
    <row r="697" spans="1:12" s="41" customFormat="1" ht="31.2" customHeight="1" x14ac:dyDescent="0.2">
      <c r="A697" s="121" t="s">
        <v>2444</v>
      </c>
      <c r="B697" s="107" t="s">
        <v>12</v>
      </c>
      <c r="C697" s="116" t="s">
        <v>2445</v>
      </c>
      <c r="D697" s="105">
        <v>1989</v>
      </c>
      <c r="E697" s="84" t="s">
        <v>2446</v>
      </c>
      <c r="F697" s="84" t="s">
        <v>2447</v>
      </c>
      <c r="G697" s="109" t="str">
        <f>HYPERLINK("https://www.lyellcollection.org/toc/sp/41/1")</f>
        <v>https://www.lyellcollection.org/toc/sp/41/1</v>
      </c>
      <c r="H697" s="110" t="s">
        <v>70</v>
      </c>
      <c r="I697" s="27" t="s">
        <v>2912</v>
      </c>
      <c r="J697" s="23" t="s">
        <v>1077</v>
      </c>
      <c r="K697" s="102" t="e">
        <v>#N/A</v>
      </c>
      <c r="L697" s="86" t="s">
        <v>2108</v>
      </c>
    </row>
    <row r="698" spans="1:12" s="41" customFormat="1" ht="31.2" customHeight="1" x14ac:dyDescent="0.2">
      <c r="A698" s="111" t="s">
        <v>2448</v>
      </c>
      <c r="B698" s="107" t="s">
        <v>43</v>
      </c>
      <c r="C698" s="106" t="s">
        <v>2449</v>
      </c>
      <c r="D698" s="105">
        <v>1988</v>
      </c>
      <c r="E698" s="105" t="s">
        <v>2450</v>
      </c>
      <c r="F698" s="105" t="s">
        <v>2451</v>
      </c>
      <c r="G698" s="109" t="str">
        <f>HYPERLINK("https://www.lyellcollection.org/toc/egsp/5/1")</f>
        <v>https://www.lyellcollection.org/toc/egsp/5/1</v>
      </c>
      <c r="H698" s="110" t="s">
        <v>70</v>
      </c>
      <c r="I698" s="27" t="s">
        <v>2912</v>
      </c>
      <c r="J698" s="23" t="s">
        <v>1077</v>
      </c>
      <c r="K698" s="102" t="e">
        <v>#N/A</v>
      </c>
      <c r="L698" s="53"/>
    </row>
    <row r="699" spans="1:12" s="41" customFormat="1" ht="31.2" customHeight="1" x14ac:dyDescent="0.2">
      <c r="A699" s="111" t="s">
        <v>2452</v>
      </c>
      <c r="B699" s="107" t="s">
        <v>12</v>
      </c>
      <c r="C699" s="116" t="s">
        <v>2453</v>
      </c>
      <c r="D699" s="105">
        <v>1988</v>
      </c>
      <c r="E699" s="84" t="s">
        <v>2454</v>
      </c>
      <c r="F699" s="84" t="s">
        <v>2455</v>
      </c>
      <c r="G699" s="109" t="str">
        <f>HYPERLINK("https://www.lyellcollection.org/toc/sp/40/1")</f>
        <v>https://www.lyellcollection.org/toc/sp/40/1</v>
      </c>
      <c r="H699" s="110" t="s">
        <v>70</v>
      </c>
      <c r="I699" s="27" t="s">
        <v>2912</v>
      </c>
      <c r="J699" s="23" t="s">
        <v>1077</v>
      </c>
      <c r="K699" s="102" t="e">
        <v>#N/A</v>
      </c>
      <c r="L699" s="86" t="s">
        <v>2108</v>
      </c>
    </row>
    <row r="700" spans="1:12" s="41" customFormat="1" ht="31.2" customHeight="1" x14ac:dyDescent="0.2">
      <c r="A700" s="121" t="s">
        <v>2456</v>
      </c>
      <c r="B700" s="107" t="s">
        <v>12</v>
      </c>
      <c r="C700" s="116" t="s">
        <v>2457</v>
      </c>
      <c r="D700" s="105">
        <v>1988</v>
      </c>
      <c r="E700" s="84" t="s">
        <v>2458</v>
      </c>
      <c r="F700" s="84" t="s">
        <v>2459</v>
      </c>
      <c r="G700" s="109" t="str">
        <f>HYPERLINK("https://www.lyellcollection.org/toc/sp/39/1")</f>
        <v>https://www.lyellcollection.org/toc/sp/39/1</v>
      </c>
      <c r="H700" s="110" t="s">
        <v>70</v>
      </c>
      <c r="I700" s="27" t="s">
        <v>2912</v>
      </c>
      <c r="J700" s="23" t="s">
        <v>1077</v>
      </c>
      <c r="K700" s="102" t="e">
        <v>#N/A</v>
      </c>
      <c r="L700" s="86" t="s">
        <v>2108</v>
      </c>
    </row>
    <row r="701" spans="1:12" s="41" customFormat="1" ht="31.2" customHeight="1" x14ac:dyDescent="0.2">
      <c r="A701" s="111" t="s">
        <v>2460</v>
      </c>
      <c r="B701" s="107" t="s">
        <v>12</v>
      </c>
      <c r="C701" s="116" t="s">
        <v>2461</v>
      </c>
      <c r="D701" s="105">
        <v>1988</v>
      </c>
      <c r="E701" s="84" t="s">
        <v>2462</v>
      </c>
      <c r="F701" s="84" t="s">
        <v>2463</v>
      </c>
      <c r="G701" s="109" t="str">
        <f>HYPERLINK("https://www.lyellcollection.org/toc/sp/38/1")</f>
        <v>https://www.lyellcollection.org/toc/sp/38/1</v>
      </c>
      <c r="H701" s="110" t="s">
        <v>70</v>
      </c>
      <c r="I701" s="27" t="s">
        <v>2912</v>
      </c>
      <c r="J701" s="23" t="s">
        <v>1077</v>
      </c>
      <c r="K701" s="102" t="e">
        <v>#N/A</v>
      </c>
      <c r="L701" s="86" t="s">
        <v>2108</v>
      </c>
    </row>
    <row r="702" spans="1:12" s="41" customFormat="1" ht="31.2" customHeight="1" x14ac:dyDescent="0.2">
      <c r="A702" s="121" t="s">
        <v>2464</v>
      </c>
      <c r="B702" s="107" t="s">
        <v>12</v>
      </c>
      <c r="C702" s="116" t="s">
        <v>2465</v>
      </c>
      <c r="D702" s="105">
        <v>1988</v>
      </c>
      <c r="E702" s="84" t="s">
        <v>2466</v>
      </c>
      <c r="F702" s="84" t="s">
        <v>2467</v>
      </c>
      <c r="G702" s="109" t="str">
        <f>HYPERLINK("https://www.lyellcollection.org/toc/sp/37/1")</f>
        <v>https://www.lyellcollection.org/toc/sp/37/1</v>
      </c>
      <c r="H702" s="110" t="s">
        <v>70</v>
      </c>
      <c r="I702" s="27" t="s">
        <v>2912</v>
      </c>
      <c r="J702" s="23" t="s">
        <v>1077</v>
      </c>
      <c r="K702" s="102" t="e">
        <v>#N/A</v>
      </c>
      <c r="L702" s="86" t="s">
        <v>2108</v>
      </c>
    </row>
    <row r="703" spans="1:12" s="41" customFormat="1" ht="31.2" customHeight="1" x14ac:dyDescent="0.2">
      <c r="A703" s="111" t="s">
        <v>2468</v>
      </c>
      <c r="B703" s="107" t="s">
        <v>43</v>
      </c>
      <c r="C703" s="106" t="s">
        <v>2469</v>
      </c>
      <c r="D703" s="105">
        <v>1987</v>
      </c>
      <c r="E703" s="105" t="s">
        <v>2470</v>
      </c>
      <c r="F703" s="105" t="s">
        <v>2471</v>
      </c>
      <c r="G703" s="109" t="str">
        <f>HYPERLINK("https://www.lyellcollection.org/toc/egsp/4/1")</f>
        <v>https://www.lyellcollection.org/toc/egsp/4/1</v>
      </c>
      <c r="H703" s="110" t="s">
        <v>70</v>
      </c>
      <c r="I703" s="27" t="s">
        <v>2912</v>
      </c>
      <c r="J703" s="23" t="s">
        <v>1077</v>
      </c>
      <c r="K703" s="102" t="e">
        <v>#N/A</v>
      </c>
      <c r="L703" s="53"/>
    </row>
    <row r="704" spans="1:12" s="41" customFormat="1" ht="31.2" customHeight="1" x14ac:dyDescent="0.2">
      <c r="A704" s="111" t="s">
        <v>2472</v>
      </c>
      <c r="B704" s="107" t="s">
        <v>12</v>
      </c>
      <c r="C704" s="116" t="s">
        <v>2473</v>
      </c>
      <c r="D704" s="105">
        <v>1987</v>
      </c>
      <c r="E704" s="84" t="s">
        <v>2474</v>
      </c>
      <c r="F704" s="84" t="s">
        <v>2475</v>
      </c>
      <c r="G704" s="109" t="str">
        <f>HYPERLINK("https://www.lyellcollection.org/toc/sp/36/1")</f>
        <v>https://www.lyellcollection.org/toc/sp/36/1</v>
      </c>
      <c r="H704" s="110" t="s">
        <v>70</v>
      </c>
      <c r="I704" s="27" t="s">
        <v>2912</v>
      </c>
      <c r="J704" s="23" t="s">
        <v>1077</v>
      </c>
      <c r="K704" s="102" t="e">
        <v>#N/A</v>
      </c>
      <c r="L704" s="86" t="s">
        <v>2108</v>
      </c>
    </row>
    <row r="705" spans="1:12" s="41" customFormat="1" ht="31.2" customHeight="1" x14ac:dyDescent="0.2">
      <c r="A705" s="121" t="s">
        <v>2476</v>
      </c>
      <c r="B705" s="107" t="s">
        <v>12</v>
      </c>
      <c r="C705" s="116" t="s">
        <v>2477</v>
      </c>
      <c r="D705" s="105">
        <v>1987</v>
      </c>
      <c r="E705" s="84" t="s">
        <v>2478</v>
      </c>
      <c r="F705" s="84" t="s">
        <v>2479</v>
      </c>
      <c r="G705" s="109" t="str">
        <f>HYPERLINK("https://www.lyellcollection.org/toc/sp/35/1")</f>
        <v>https://www.lyellcollection.org/toc/sp/35/1</v>
      </c>
      <c r="H705" s="110" t="s">
        <v>70</v>
      </c>
      <c r="I705" s="27" t="s">
        <v>2912</v>
      </c>
      <c r="J705" s="23" t="s">
        <v>1077</v>
      </c>
      <c r="K705" s="102" t="e">
        <v>#N/A</v>
      </c>
      <c r="L705" s="86" t="s">
        <v>2108</v>
      </c>
    </row>
    <row r="706" spans="1:12" s="41" customFormat="1" ht="31.2" customHeight="1" x14ac:dyDescent="0.2">
      <c r="A706" s="111" t="s">
        <v>2480</v>
      </c>
      <c r="B706" s="107" t="s">
        <v>12</v>
      </c>
      <c r="C706" s="116" t="s">
        <v>2481</v>
      </c>
      <c r="D706" s="105">
        <v>1987</v>
      </c>
      <c r="E706" s="84" t="s">
        <v>2482</v>
      </c>
      <c r="F706" s="84" t="s">
        <v>2483</v>
      </c>
      <c r="G706" s="109" t="str">
        <f>HYPERLINK("https://www.lyellcollection.org/toc/sp/34/1")</f>
        <v>https://www.lyellcollection.org/toc/sp/34/1</v>
      </c>
      <c r="H706" s="110" t="s">
        <v>70</v>
      </c>
      <c r="I706" s="27" t="s">
        <v>2912</v>
      </c>
      <c r="J706" s="23" t="s">
        <v>1077</v>
      </c>
      <c r="K706" s="102" t="e">
        <v>#N/A</v>
      </c>
      <c r="L706" s="86" t="s">
        <v>2108</v>
      </c>
    </row>
    <row r="707" spans="1:12" s="41" customFormat="1" ht="31.2" customHeight="1" x14ac:dyDescent="0.2">
      <c r="A707" s="121" t="s">
        <v>2484</v>
      </c>
      <c r="B707" s="107" t="s">
        <v>12</v>
      </c>
      <c r="C707" s="116" t="s">
        <v>2485</v>
      </c>
      <c r="D707" s="105">
        <v>1987</v>
      </c>
      <c r="E707" s="84" t="s">
        <v>2486</v>
      </c>
      <c r="F707" s="84" t="s">
        <v>2487</v>
      </c>
      <c r="G707" s="109" t="str">
        <f>HYPERLINK("https://www.lyellcollection.org/toc/sp/33/1")</f>
        <v>https://www.lyellcollection.org/toc/sp/33/1</v>
      </c>
      <c r="H707" s="110" t="s">
        <v>70</v>
      </c>
      <c r="I707" s="27" t="s">
        <v>2912</v>
      </c>
      <c r="J707" s="23" t="s">
        <v>1077</v>
      </c>
      <c r="K707" s="102" t="e">
        <v>#N/A</v>
      </c>
      <c r="L707" s="86" t="s">
        <v>2108</v>
      </c>
    </row>
    <row r="708" spans="1:12" s="41" customFormat="1" ht="31.2" customHeight="1" x14ac:dyDescent="0.2">
      <c r="A708" s="111" t="s">
        <v>2488</v>
      </c>
      <c r="B708" s="107" t="s">
        <v>12</v>
      </c>
      <c r="C708" s="116" t="s">
        <v>2489</v>
      </c>
      <c r="D708" s="105">
        <v>1987</v>
      </c>
      <c r="E708" s="84" t="s">
        <v>2490</v>
      </c>
      <c r="F708" s="84" t="s">
        <v>2491</v>
      </c>
      <c r="G708" s="109" t="str">
        <f>HYPERLINK("https://www.lyellcollection.org/toc/sp/32/1")</f>
        <v>https://www.lyellcollection.org/toc/sp/32/1</v>
      </c>
      <c r="H708" s="110" t="s">
        <v>70</v>
      </c>
      <c r="I708" s="27" t="s">
        <v>2912</v>
      </c>
      <c r="J708" s="23" t="s">
        <v>1077</v>
      </c>
      <c r="K708" s="102" t="e">
        <v>#N/A</v>
      </c>
      <c r="L708" s="86" t="s">
        <v>2108</v>
      </c>
    </row>
    <row r="709" spans="1:12" s="41" customFormat="1" ht="31.2" customHeight="1" x14ac:dyDescent="0.2">
      <c r="A709" s="121" t="s">
        <v>2492</v>
      </c>
      <c r="B709" s="107" t="s">
        <v>12</v>
      </c>
      <c r="C709" s="116" t="s">
        <v>2493</v>
      </c>
      <c r="D709" s="105">
        <v>1987</v>
      </c>
      <c r="E709" s="84" t="s">
        <v>2494</v>
      </c>
      <c r="F709" s="84" t="s">
        <v>2495</v>
      </c>
      <c r="G709" s="109" t="str">
        <f>HYPERLINK("https://www.lyellcollection.org/toc/sp/31/1")</f>
        <v>https://www.lyellcollection.org/toc/sp/31/1</v>
      </c>
      <c r="H709" s="110" t="s">
        <v>70</v>
      </c>
      <c r="I709" s="27" t="s">
        <v>2912</v>
      </c>
      <c r="J709" s="23" t="s">
        <v>1077</v>
      </c>
      <c r="K709" s="102" t="e">
        <v>#N/A</v>
      </c>
      <c r="L709" s="86" t="s">
        <v>2108</v>
      </c>
    </row>
    <row r="710" spans="1:12" s="41" customFormat="1" ht="31.2" customHeight="1" x14ac:dyDescent="0.2">
      <c r="A710" s="111" t="s">
        <v>2496</v>
      </c>
      <c r="B710" s="107" t="s">
        <v>12</v>
      </c>
      <c r="C710" s="116" t="s">
        <v>2497</v>
      </c>
      <c r="D710" s="105">
        <v>1987</v>
      </c>
      <c r="E710" s="84" t="s">
        <v>2498</v>
      </c>
      <c r="F710" s="84" t="s">
        <v>2499</v>
      </c>
      <c r="G710" s="109" t="str">
        <f>HYPERLINK("https://www.lyellcollection.org/toc/sp/30/1")</f>
        <v>https://www.lyellcollection.org/toc/sp/30/1</v>
      </c>
      <c r="H710" s="110" t="s">
        <v>70</v>
      </c>
      <c r="I710" s="27" t="s">
        <v>2912</v>
      </c>
      <c r="J710" s="23" t="s">
        <v>1077</v>
      </c>
      <c r="K710" s="102" t="e">
        <v>#N/A</v>
      </c>
      <c r="L710" s="86" t="s">
        <v>2108</v>
      </c>
    </row>
    <row r="711" spans="1:12" s="41" customFormat="1" ht="31.2" customHeight="1" x14ac:dyDescent="0.2">
      <c r="A711" s="121" t="s">
        <v>2500</v>
      </c>
      <c r="B711" s="107" t="s">
        <v>12</v>
      </c>
      <c r="C711" s="116" t="s">
        <v>2501</v>
      </c>
      <c r="D711" s="105">
        <v>1987</v>
      </c>
      <c r="E711" s="84" t="s">
        <v>2502</v>
      </c>
      <c r="F711" s="84" t="s">
        <v>2503</v>
      </c>
      <c r="G711" s="109" t="str">
        <f>HYPERLINK("https://www.lyellcollection.org/toc/sp/29/1")</f>
        <v>https://www.lyellcollection.org/toc/sp/29/1</v>
      </c>
      <c r="H711" s="110" t="s">
        <v>70</v>
      </c>
      <c r="I711" s="27" t="s">
        <v>2912</v>
      </c>
      <c r="J711" s="23" t="s">
        <v>1077</v>
      </c>
      <c r="K711" s="102" t="e">
        <v>#N/A</v>
      </c>
      <c r="L711" s="86" t="s">
        <v>2108</v>
      </c>
    </row>
    <row r="712" spans="1:12" s="41" customFormat="1" ht="31.2" customHeight="1" x14ac:dyDescent="0.2">
      <c r="A712" s="111" t="s">
        <v>2504</v>
      </c>
      <c r="B712" s="107" t="s">
        <v>12</v>
      </c>
      <c r="C712" s="116" t="s">
        <v>2505</v>
      </c>
      <c r="D712" s="105">
        <v>1987</v>
      </c>
      <c r="E712" s="84" t="s">
        <v>2506</v>
      </c>
      <c r="F712" s="84" t="s">
        <v>2507</v>
      </c>
      <c r="G712" s="109" t="str">
        <f>HYPERLINK("https://www.lyellcollection.org/toc/sp/28/1")</f>
        <v>https://www.lyellcollection.org/toc/sp/28/1</v>
      </c>
      <c r="H712" s="110" t="s">
        <v>70</v>
      </c>
      <c r="I712" s="27" t="s">
        <v>2912</v>
      </c>
      <c r="J712" s="23" t="s">
        <v>1077</v>
      </c>
      <c r="K712" s="102" t="e">
        <v>#N/A</v>
      </c>
      <c r="L712" s="86" t="s">
        <v>2108</v>
      </c>
    </row>
    <row r="713" spans="1:12" s="41" customFormat="1" ht="31.2" customHeight="1" x14ac:dyDescent="0.2">
      <c r="A713" s="121" t="s">
        <v>2508</v>
      </c>
      <c r="B713" s="107" t="s">
        <v>12</v>
      </c>
      <c r="C713" s="116" t="s">
        <v>2509</v>
      </c>
      <c r="D713" s="105">
        <v>1987</v>
      </c>
      <c r="E713" s="84" t="s">
        <v>2510</v>
      </c>
      <c r="F713" s="84" t="s">
        <v>2511</v>
      </c>
      <c r="G713" s="109" t="str">
        <f>HYPERLINK("https://www.lyellcollection.org/toc/sp/27/1")</f>
        <v>https://www.lyellcollection.org/toc/sp/27/1</v>
      </c>
      <c r="H713" s="110" t="s">
        <v>70</v>
      </c>
      <c r="I713" s="27" t="s">
        <v>2912</v>
      </c>
      <c r="J713" s="23" t="s">
        <v>1077</v>
      </c>
      <c r="K713" s="102" t="e">
        <v>#N/A</v>
      </c>
      <c r="L713" s="86" t="s">
        <v>2108</v>
      </c>
    </row>
    <row r="714" spans="1:12" s="41" customFormat="1" ht="31.2" customHeight="1" x14ac:dyDescent="0.2">
      <c r="A714" s="111" t="s">
        <v>2512</v>
      </c>
      <c r="B714" s="107" t="s">
        <v>12</v>
      </c>
      <c r="C714" s="116" t="s">
        <v>2513</v>
      </c>
      <c r="D714" s="105">
        <v>1987</v>
      </c>
      <c r="E714" s="84" t="s">
        <v>2514</v>
      </c>
      <c r="F714" s="84" t="s">
        <v>2515</v>
      </c>
      <c r="G714" s="109" t="str">
        <f>HYPERLINK("https://www.lyellcollection.org/toc/sp/26/1")</f>
        <v>https://www.lyellcollection.org/toc/sp/26/1</v>
      </c>
      <c r="H714" s="110" t="s">
        <v>70</v>
      </c>
      <c r="I714" s="27" t="s">
        <v>2912</v>
      </c>
      <c r="J714" s="23" t="s">
        <v>1077</v>
      </c>
      <c r="K714" s="102" t="e">
        <v>#N/A</v>
      </c>
      <c r="L714" s="86" t="s">
        <v>2108</v>
      </c>
    </row>
    <row r="715" spans="1:12" s="41" customFormat="1" ht="31.2" customHeight="1" x14ac:dyDescent="0.2">
      <c r="A715" s="111" t="s">
        <v>2520</v>
      </c>
      <c r="B715" s="107" t="s">
        <v>43</v>
      </c>
      <c r="C715" s="106" t="s">
        <v>2521</v>
      </c>
      <c r="D715" s="105">
        <v>1986</v>
      </c>
      <c r="E715" s="105" t="s">
        <v>2522</v>
      </c>
      <c r="F715" s="105" t="s">
        <v>2523</v>
      </c>
      <c r="G715" s="109" t="str">
        <f>HYPERLINK("https://www.lyellcollection.org/toc/egsp/3/1")</f>
        <v>https://www.lyellcollection.org/toc/egsp/3/1</v>
      </c>
      <c r="H715" s="110" t="s">
        <v>70</v>
      </c>
      <c r="I715" s="27" t="s">
        <v>2912</v>
      </c>
      <c r="J715" s="23" t="s">
        <v>1077</v>
      </c>
      <c r="K715" s="102" t="e">
        <v>#N/A</v>
      </c>
      <c r="L715" s="53"/>
    </row>
    <row r="716" spans="1:12" s="41" customFormat="1" ht="31.2" customHeight="1" x14ac:dyDescent="0.2">
      <c r="A716" s="111" t="s">
        <v>2524</v>
      </c>
      <c r="B716" s="107" t="s">
        <v>43</v>
      </c>
      <c r="C716" s="106" t="s">
        <v>2525</v>
      </c>
      <c r="D716" s="105">
        <v>1986</v>
      </c>
      <c r="E716" s="105" t="s">
        <v>2526</v>
      </c>
      <c r="F716" s="105" t="s">
        <v>2527</v>
      </c>
      <c r="G716" s="109" t="str">
        <f>HYPERLINK("https://www.lyellcollection.org/toc/egsp/2/1")</f>
        <v>https://www.lyellcollection.org/toc/egsp/2/1</v>
      </c>
      <c r="H716" s="110" t="s">
        <v>70</v>
      </c>
      <c r="I716" s="27" t="s">
        <v>2912</v>
      </c>
      <c r="J716" s="23" t="s">
        <v>1077</v>
      </c>
      <c r="K716" s="102" t="e">
        <v>#N/A</v>
      </c>
      <c r="L716" s="53"/>
    </row>
    <row r="717" spans="1:12" s="41" customFormat="1" ht="31.2" customHeight="1" x14ac:dyDescent="0.2">
      <c r="A717" s="121" t="s">
        <v>2528</v>
      </c>
      <c r="B717" s="107" t="s">
        <v>12</v>
      </c>
      <c r="C717" s="116" t="s">
        <v>2529</v>
      </c>
      <c r="D717" s="105">
        <v>1986</v>
      </c>
      <c r="E717" s="84" t="s">
        <v>2530</v>
      </c>
      <c r="F717" s="84" t="s">
        <v>2531</v>
      </c>
      <c r="G717" s="109" t="str">
        <f>HYPERLINK("https://www.lyellcollection.org/toc/sp/25/1")</f>
        <v>https://www.lyellcollection.org/toc/sp/25/1</v>
      </c>
      <c r="H717" s="110" t="s">
        <v>70</v>
      </c>
      <c r="I717" s="27" t="s">
        <v>2912</v>
      </c>
      <c r="J717" s="23" t="s">
        <v>1077</v>
      </c>
      <c r="K717" s="102" t="e">
        <v>#N/A</v>
      </c>
      <c r="L717" s="86" t="s">
        <v>2108</v>
      </c>
    </row>
    <row r="718" spans="1:12" s="41" customFormat="1" ht="31.2" customHeight="1" x14ac:dyDescent="0.2">
      <c r="A718" s="111" t="s">
        <v>2532</v>
      </c>
      <c r="B718" s="107" t="s">
        <v>12</v>
      </c>
      <c r="C718" s="116" t="s">
        <v>2533</v>
      </c>
      <c r="D718" s="105">
        <v>1986</v>
      </c>
      <c r="E718" s="84" t="s">
        <v>2534</v>
      </c>
      <c r="F718" s="84" t="s">
        <v>2535</v>
      </c>
      <c r="G718" s="109" t="str">
        <f>HYPERLINK("https://www.lyellcollection.org/toc/sp/24/1")</f>
        <v>https://www.lyellcollection.org/toc/sp/24/1</v>
      </c>
      <c r="H718" s="110" t="s">
        <v>70</v>
      </c>
      <c r="I718" s="27" t="s">
        <v>2912</v>
      </c>
      <c r="J718" s="23" t="s">
        <v>1077</v>
      </c>
      <c r="K718" s="102" t="e">
        <v>#N/A</v>
      </c>
      <c r="L718" s="86" t="s">
        <v>2108</v>
      </c>
    </row>
    <row r="719" spans="1:12" s="41" customFormat="1" ht="31.2" customHeight="1" x14ac:dyDescent="0.2">
      <c r="A719" s="121" t="s">
        <v>2536</v>
      </c>
      <c r="B719" s="107" t="s">
        <v>12</v>
      </c>
      <c r="C719" s="116" t="s">
        <v>2537</v>
      </c>
      <c r="D719" s="105">
        <v>1986</v>
      </c>
      <c r="E719" s="84" t="s">
        <v>2538</v>
      </c>
      <c r="F719" s="84" t="s">
        <v>2539</v>
      </c>
      <c r="G719" s="109" t="str">
        <f>HYPERLINK("https://www.lyellcollection.org/toc/sp/23/1")</f>
        <v>https://www.lyellcollection.org/toc/sp/23/1</v>
      </c>
      <c r="H719" s="110" t="s">
        <v>70</v>
      </c>
      <c r="I719" s="27" t="s">
        <v>2912</v>
      </c>
      <c r="J719" s="23" t="s">
        <v>1077</v>
      </c>
      <c r="K719" s="102" t="e">
        <v>#N/A</v>
      </c>
      <c r="L719" s="86" t="s">
        <v>2108</v>
      </c>
    </row>
    <row r="720" spans="1:12" s="41" customFormat="1" ht="31.2" customHeight="1" x14ac:dyDescent="0.2">
      <c r="A720" s="111" t="s">
        <v>2540</v>
      </c>
      <c r="B720" s="107" t="s">
        <v>12</v>
      </c>
      <c r="C720" s="116" t="s">
        <v>2541</v>
      </c>
      <c r="D720" s="105">
        <v>1986</v>
      </c>
      <c r="E720" s="84" t="s">
        <v>2542</v>
      </c>
      <c r="F720" s="84" t="s">
        <v>2543</v>
      </c>
      <c r="G720" s="109" t="str">
        <f>HYPERLINK("https://www.lyellcollection.org/toc/sp/22/1")</f>
        <v>https://www.lyellcollection.org/toc/sp/22/1</v>
      </c>
      <c r="H720" s="110" t="s">
        <v>70</v>
      </c>
      <c r="I720" s="27" t="s">
        <v>2912</v>
      </c>
      <c r="J720" s="23" t="s">
        <v>1077</v>
      </c>
      <c r="K720" s="102" t="e">
        <v>#N/A</v>
      </c>
      <c r="L720" s="86" t="s">
        <v>2108</v>
      </c>
    </row>
    <row r="721" spans="1:12" s="41" customFormat="1" ht="31.2" customHeight="1" x14ac:dyDescent="0.2">
      <c r="A721" s="121" t="s">
        <v>2544</v>
      </c>
      <c r="B721" s="107" t="s">
        <v>12</v>
      </c>
      <c r="C721" s="116" t="s">
        <v>2545</v>
      </c>
      <c r="D721" s="105">
        <v>1986</v>
      </c>
      <c r="E721" s="84" t="s">
        <v>2546</v>
      </c>
      <c r="F721" s="84" t="s">
        <v>2547</v>
      </c>
      <c r="G721" s="109" t="str">
        <f>HYPERLINK("https://www.lyellcollection.org/toc/sp/21/1")</f>
        <v>https://www.lyellcollection.org/toc/sp/21/1</v>
      </c>
      <c r="H721" s="110" t="s">
        <v>70</v>
      </c>
      <c r="I721" s="27" t="s">
        <v>2912</v>
      </c>
      <c r="J721" s="23" t="s">
        <v>1077</v>
      </c>
      <c r="K721" s="102" t="e">
        <v>#N/A</v>
      </c>
      <c r="L721" s="86" t="s">
        <v>2108</v>
      </c>
    </row>
    <row r="722" spans="1:12" s="41" customFormat="1" ht="31.2" customHeight="1" x14ac:dyDescent="0.2">
      <c r="A722" s="111" t="s">
        <v>2548</v>
      </c>
      <c r="B722" s="107" t="s">
        <v>12</v>
      </c>
      <c r="C722" s="116" t="s">
        <v>2549</v>
      </c>
      <c r="D722" s="105">
        <v>1986</v>
      </c>
      <c r="E722" s="84" t="s">
        <v>2550</v>
      </c>
      <c r="F722" s="84" t="s">
        <v>2551</v>
      </c>
      <c r="G722" s="109" t="str">
        <f>HYPERLINK("https://www.lyellcollection.org/toc/sp/20/1")</f>
        <v>https://www.lyellcollection.org/toc/sp/20/1</v>
      </c>
      <c r="H722" s="110" t="s">
        <v>70</v>
      </c>
      <c r="I722" s="27" t="s">
        <v>2912</v>
      </c>
      <c r="J722" s="23" t="s">
        <v>1077</v>
      </c>
      <c r="K722" s="102" t="e">
        <v>#N/A</v>
      </c>
      <c r="L722" s="86" t="s">
        <v>2108</v>
      </c>
    </row>
    <row r="723" spans="1:12" s="41" customFormat="1" ht="31.2" customHeight="1" x14ac:dyDescent="0.2">
      <c r="A723" s="121" t="s">
        <v>2552</v>
      </c>
      <c r="B723" s="107" t="s">
        <v>12</v>
      </c>
      <c r="C723" s="116" t="s">
        <v>2553</v>
      </c>
      <c r="D723" s="105">
        <v>1986</v>
      </c>
      <c r="E723" s="84" t="s">
        <v>2554</v>
      </c>
      <c r="F723" s="84" t="s">
        <v>2555</v>
      </c>
      <c r="G723" s="109" t="str">
        <f>HYPERLINK("https://www.lyellcollection.org/toc/sp/19/1")</f>
        <v>https://www.lyellcollection.org/toc/sp/19/1</v>
      </c>
      <c r="H723" s="110" t="s">
        <v>70</v>
      </c>
      <c r="I723" s="27" t="s">
        <v>2912</v>
      </c>
      <c r="J723" s="23" t="s">
        <v>1077</v>
      </c>
      <c r="K723" s="102" t="e">
        <v>#N/A</v>
      </c>
      <c r="L723" s="86" t="s">
        <v>2108</v>
      </c>
    </row>
    <row r="724" spans="1:12" s="41" customFormat="1" ht="31.2" customHeight="1" x14ac:dyDescent="0.2">
      <c r="A724" s="111" t="s">
        <v>2516</v>
      </c>
      <c r="B724" s="116" t="s">
        <v>690</v>
      </c>
      <c r="C724" s="106" t="s">
        <v>2517</v>
      </c>
      <c r="D724" s="105">
        <v>1986</v>
      </c>
      <c r="E724" s="105" t="s">
        <v>2518</v>
      </c>
      <c r="F724" s="105" t="s">
        <v>2519</v>
      </c>
      <c r="G724" s="112" t="s">
        <v>79</v>
      </c>
      <c r="H724" s="191"/>
      <c r="I724" s="192"/>
      <c r="J724" s="23" t="s">
        <v>71</v>
      </c>
      <c r="K724" s="102">
        <v>125</v>
      </c>
      <c r="L724" s="53"/>
    </row>
    <row r="725" spans="1:12" s="41" customFormat="1" ht="31.2" customHeight="1" x14ac:dyDescent="0.2">
      <c r="A725" s="111" t="s">
        <v>2556</v>
      </c>
      <c r="B725" s="113" t="s">
        <v>39</v>
      </c>
      <c r="C725" s="106" t="s">
        <v>2557</v>
      </c>
      <c r="D725" s="105">
        <v>1986</v>
      </c>
      <c r="E725" s="132" t="s">
        <v>2558</v>
      </c>
      <c r="F725" s="125" t="s">
        <v>2559</v>
      </c>
      <c r="G725" s="109" t="str">
        <f>HYPERLINK("https://www.lyellcollection.org/toc/mem/11/1")</f>
        <v>https://www.lyellcollection.org/toc/mem/11/1</v>
      </c>
      <c r="H725" s="110" t="s">
        <v>70</v>
      </c>
      <c r="I725" s="27" t="s">
        <v>2912</v>
      </c>
      <c r="J725" s="23" t="s">
        <v>1077</v>
      </c>
      <c r="K725" s="102" t="e">
        <v>#N/A</v>
      </c>
      <c r="L725" s="53"/>
    </row>
    <row r="726" spans="1:12" s="41" customFormat="1" ht="31.2" customHeight="1" x14ac:dyDescent="0.2">
      <c r="A726" s="111" t="s">
        <v>2560</v>
      </c>
      <c r="B726" s="122" t="s">
        <v>76</v>
      </c>
      <c r="C726" s="116" t="s">
        <v>2561</v>
      </c>
      <c r="D726" s="105">
        <v>1985</v>
      </c>
      <c r="E726" s="105" t="s">
        <v>2562</v>
      </c>
      <c r="F726" s="105" t="s">
        <v>2563</v>
      </c>
      <c r="G726" s="112" t="s">
        <v>79</v>
      </c>
      <c r="H726" s="191"/>
      <c r="I726" s="192"/>
      <c r="J726" s="23" t="s">
        <v>1273</v>
      </c>
      <c r="K726" s="102" t="e">
        <v>#N/A</v>
      </c>
      <c r="L726" s="53"/>
    </row>
    <row r="727" spans="1:12" s="41" customFormat="1" ht="31.2" customHeight="1" x14ac:dyDescent="0.2">
      <c r="A727" s="111" t="s">
        <v>2564</v>
      </c>
      <c r="B727" s="107" t="s">
        <v>43</v>
      </c>
      <c r="C727" s="106" t="s">
        <v>2565</v>
      </c>
      <c r="D727" s="105">
        <v>1985</v>
      </c>
      <c r="E727" s="105" t="s">
        <v>2566</v>
      </c>
      <c r="F727" s="105" t="s">
        <v>2567</v>
      </c>
      <c r="G727" s="95" t="s">
        <v>2245</v>
      </c>
      <c r="H727" s="191"/>
      <c r="I727" s="192"/>
      <c r="J727" s="23" t="s">
        <v>1077</v>
      </c>
      <c r="K727" s="102" t="e">
        <v>#N/A</v>
      </c>
      <c r="L727" s="53"/>
    </row>
    <row r="728" spans="1:12" s="41" customFormat="1" ht="31.2" customHeight="1" x14ac:dyDescent="0.2">
      <c r="A728" s="111" t="s">
        <v>2568</v>
      </c>
      <c r="B728" s="107" t="s">
        <v>12</v>
      </c>
      <c r="C728" s="116" t="s">
        <v>2569</v>
      </c>
      <c r="D728" s="105">
        <v>1985</v>
      </c>
      <c r="E728" s="84" t="s">
        <v>2570</v>
      </c>
      <c r="F728" s="84" t="s">
        <v>2571</v>
      </c>
      <c r="G728" s="109" t="str">
        <f>HYPERLINK("https://www.lyellcollection.org/toc/sp/18/1")</f>
        <v>https://www.lyellcollection.org/toc/sp/18/1</v>
      </c>
      <c r="H728" s="110" t="s">
        <v>70</v>
      </c>
      <c r="I728" s="27" t="s">
        <v>2912</v>
      </c>
      <c r="J728" s="23" t="s">
        <v>1077</v>
      </c>
      <c r="K728" s="102" t="e">
        <v>#N/A</v>
      </c>
      <c r="L728" s="86" t="s">
        <v>2108</v>
      </c>
    </row>
    <row r="729" spans="1:12" s="41" customFormat="1" ht="31.2" customHeight="1" x14ac:dyDescent="0.2">
      <c r="A729" s="111" t="s">
        <v>2572</v>
      </c>
      <c r="B729" s="113" t="s">
        <v>39</v>
      </c>
      <c r="C729" s="106" t="s">
        <v>2573</v>
      </c>
      <c r="D729" s="105">
        <v>1985</v>
      </c>
      <c r="E729" s="132" t="s">
        <v>2574</v>
      </c>
      <c r="F729" s="125" t="s">
        <v>2575</v>
      </c>
      <c r="G729" s="109" t="str">
        <f>HYPERLINK("https://www.lyellcollection.org/toc/mem/10/1")</f>
        <v>https://www.lyellcollection.org/toc/mem/10/1</v>
      </c>
      <c r="H729" s="110" t="s">
        <v>70</v>
      </c>
      <c r="I729" s="27" t="s">
        <v>2912</v>
      </c>
      <c r="J729" s="23" t="s">
        <v>1077</v>
      </c>
      <c r="K729" s="102" t="e">
        <v>#N/A</v>
      </c>
      <c r="L729" s="53"/>
    </row>
    <row r="730" spans="1:12" s="41" customFormat="1" ht="31.2" customHeight="1" x14ac:dyDescent="0.2">
      <c r="A730" s="111" t="s">
        <v>2576</v>
      </c>
      <c r="B730" s="113" t="s">
        <v>39</v>
      </c>
      <c r="C730" s="106" t="s">
        <v>2577</v>
      </c>
      <c r="D730" s="105">
        <v>1985</v>
      </c>
      <c r="E730" s="132" t="s">
        <v>2578</v>
      </c>
      <c r="F730" s="125" t="s">
        <v>2579</v>
      </c>
      <c r="G730" s="109" t="str">
        <f>HYPERLINK("https://www.lyellcollection.org/toc/mem/9/1")</f>
        <v>https://www.lyellcollection.org/toc/mem/9/1</v>
      </c>
      <c r="H730" s="110" t="s">
        <v>70</v>
      </c>
      <c r="I730" s="27" t="s">
        <v>2912</v>
      </c>
      <c r="J730" s="23" t="s">
        <v>1077</v>
      </c>
      <c r="K730" s="102" t="e">
        <v>#N/A</v>
      </c>
      <c r="L730" s="53"/>
    </row>
    <row r="731" spans="1:12" s="41" customFormat="1" ht="31.2" customHeight="1" x14ac:dyDescent="0.2">
      <c r="A731" s="121" t="s">
        <v>2580</v>
      </c>
      <c r="B731" s="122" t="s">
        <v>76</v>
      </c>
      <c r="C731" s="122" t="s">
        <v>2581</v>
      </c>
      <c r="D731" s="127">
        <v>1984</v>
      </c>
      <c r="E731" s="127" t="s">
        <v>2582</v>
      </c>
      <c r="F731" s="127" t="s">
        <v>2583</v>
      </c>
      <c r="G731" s="112" t="s">
        <v>79</v>
      </c>
      <c r="H731" s="191"/>
      <c r="I731" s="192"/>
      <c r="J731" s="23" t="s">
        <v>1273</v>
      </c>
      <c r="K731" s="102" t="e">
        <v>#N/A</v>
      </c>
      <c r="L731" s="53"/>
    </row>
    <row r="732" spans="1:12" s="41" customFormat="1" ht="31.2" customHeight="1" x14ac:dyDescent="0.2">
      <c r="A732" s="111" t="s">
        <v>2584</v>
      </c>
      <c r="B732" s="122" t="s">
        <v>76</v>
      </c>
      <c r="C732" s="116" t="s">
        <v>2585</v>
      </c>
      <c r="D732" s="105">
        <v>1984</v>
      </c>
      <c r="E732" s="105" t="s">
        <v>2586</v>
      </c>
      <c r="F732" s="105" t="s">
        <v>2587</v>
      </c>
      <c r="G732" s="112" t="s">
        <v>79</v>
      </c>
      <c r="H732" s="191"/>
      <c r="I732" s="192"/>
      <c r="J732" s="23" t="s">
        <v>1077</v>
      </c>
      <c r="K732" s="102" t="e">
        <v>#N/A</v>
      </c>
      <c r="L732" s="53"/>
    </row>
    <row r="733" spans="1:12" s="41" customFormat="1" ht="31.2" customHeight="1" x14ac:dyDescent="0.2">
      <c r="A733" s="111" t="s">
        <v>2588</v>
      </c>
      <c r="B733" s="107" t="s">
        <v>12</v>
      </c>
      <c r="C733" s="106" t="s">
        <v>2589</v>
      </c>
      <c r="D733" s="105">
        <v>1984</v>
      </c>
      <c r="E733" s="84" t="s">
        <v>2590</v>
      </c>
      <c r="F733" s="84" t="s">
        <v>2591</v>
      </c>
      <c r="G733" s="109" t="str">
        <f>HYPERLINK("https://www.lyellcollection.org/toc/sp/16/1")</f>
        <v>https://www.lyellcollection.org/toc/sp/16/1</v>
      </c>
      <c r="H733" s="110" t="s">
        <v>70</v>
      </c>
      <c r="I733" s="27" t="s">
        <v>2912</v>
      </c>
      <c r="J733" s="23" t="s">
        <v>1077</v>
      </c>
      <c r="K733" s="102" t="e">
        <v>#N/A</v>
      </c>
      <c r="L733" s="86" t="s">
        <v>2108</v>
      </c>
    </row>
    <row r="734" spans="1:12" s="41" customFormat="1" ht="31.2" customHeight="1" x14ac:dyDescent="0.2">
      <c r="A734" s="111" t="s">
        <v>2592</v>
      </c>
      <c r="B734" s="107" t="s">
        <v>12</v>
      </c>
      <c r="C734" s="106" t="s">
        <v>2593</v>
      </c>
      <c r="D734" s="105">
        <v>1984</v>
      </c>
      <c r="E734" s="84" t="s">
        <v>2594</v>
      </c>
      <c r="F734" s="84" t="s">
        <v>2595</v>
      </c>
      <c r="G734" s="109" t="str">
        <f>HYPERLINK("https://www.lyellcollection.org/toc/sp/15/1")</f>
        <v>https://www.lyellcollection.org/toc/sp/15/1</v>
      </c>
      <c r="H734" s="110" t="s">
        <v>70</v>
      </c>
      <c r="I734" s="27" t="s">
        <v>2912</v>
      </c>
      <c r="J734" s="23" t="s">
        <v>1077</v>
      </c>
      <c r="K734" s="102" t="e">
        <v>#N/A</v>
      </c>
      <c r="L734" s="86" t="s">
        <v>2108</v>
      </c>
    </row>
    <row r="735" spans="1:12" s="41" customFormat="1" ht="31.2" customHeight="1" x14ac:dyDescent="0.2">
      <c r="A735" s="111" t="s">
        <v>2596</v>
      </c>
      <c r="B735" s="107" t="s">
        <v>12</v>
      </c>
      <c r="C735" s="106" t="s">
        <v>2597</v>
      </c>
      <c r="D735" s="105">
        <v>1984</v>
      </c>
      <c r="E735" s="84" t="s">
        <v>2598</v>
      </c>
      <c r="F735" s="84" t="s">
        <v>2599</v>
      </c>
      <c r="G735" s="109" t="str">
        <f>HYPERLINK("https://www.lyellcollection.org/toc/sp/14/1")</f>
        <v>https://www.lyellcollection.org/toc/sp/14/1</v>
      </c>
      <c r="H735" s="110" t="s">
        <v>70</v>
      </c>
      <c r="I735" s="27" t="s">
        <v>2912</v>
      </c>
      <c r="J735" s="23" t="s">
        <v>1077</v>
      </c>
      <c r="K735" s="102" t="e">
        <v>#N/A</v>
      </c>
      <c r="L735" s="86" t="s">
        <v>2108</v>
      </c>
    </row>
    <row r="736" spans="1:12" s="41" customFormat="1" ht="31.2" customHeight="1" x14ac:dyDescent="0.2">
      <c r="A736" s="111" t="s">
        <v>2600</v>
      </c>
      <c r="B736" s="107" t="s">
        <v>12</v>
      </c>
      <c r="C736" s="106" t="s">
        <v>2601</v>
      </c>
      <c r="D736" s="105">
        <v>1984</v>
      </c>
      <c r="E736" s="84" t="s">
        <v>2602</v>
      </c>
      <c r="F736" s="84" t="s">
        <v>2603</v>
      </c>
      <c r="G736" s="109" t="str">
        <f>HYPERLINK("https://www.lyellcollection.org/toc/sp/13/1")</f>
        <v>https://www.lyellcollection.org/toc/sp/13/1</v>
      </c>
      <c r="H736" s="110" t="s">
        <v>70</v>
      </c>
      <c r="I736" s="27" t="s">
        <v>2912</v>
      </c>
      <c r="J736" s="23" t="s">
        <v>1077</v>
      </c>
      <c r="K736" s="102" t="e">
        <v>#N/A</v>
      </c>
      <c r="L736" s="86" t="s">
        <v>2108</v>
      </c>
    </row>
    <row r="737" spans="1:12" s="41" customFormat="1" ht="31.2" customHeight="1" x14ac:dyDescent="0.2">
      <c r="A737" s="111" t="s">
        <v>2604</v>
      </c>
      <c r="B737" s="107" t="s">
        <v>12</v>
      </c>
      <c r="C737" s="106" t="s">
        <v>2605</v>
      </c>
      <c r="D737" s="105">
        <v>1983</v>
      </c>
      <c r="E737" s="84" t="s">
        <v>2606</v>
      </c>
      <c r="F737" s="84" t="s">
        <v>2607</v>
      </c>
      <c r="G737" s="109" t="str">
        <f>HYPERLINK("https://www.lyellcollection.org/toc/sp/12/1")</f>
        <v>https://www.lyellcollection.org/toc/sp/12/1</v>
      </c>
      <c r="H737" s="110" t="s">
        <v>70</v>
      </c>
      <c r="I737" s="27" t="s">
        <v>2912</v>
      </c>
      <c r="J737" s="23" t="s">
        <v>1077</v>
      </c>
      <c r="K737" s="102" t="e">
        <v>#N/A</v>
      </c>
      <c r="L737" s="86" t="s">
        <v>2108</v>
      </c>
    </row>
    <row r="738" spans="1:12" s="41" customFormat="1" ht="31.2" customHeight="1" x14ac:dyDescent="0.2">
      <c r="A738" s="111" t="s">
        <v>2608</v>
      </c>
      <c r="B738" s="107" t="s">
        <v>12</v>
      </c>
      <c r="C738" s="106" t="s">
        <v>2609</v>
      </c>
      <c r="D738" s="105">
        <v>1983</v>
      </c>
      <c r="E738" s="84" t="s">
        <v>2610</v>
      </c>
      <c r="F738" s="84" t="s">
        <v>2611</v>
      </c>
      <c r="G738" s="109" t="str">
        <f>HYPERLINK("https://www.lyellcollection.org/toc/sp/11/1")</f>
        <v>https://www.lyellcollection.org/toc/sp/11/1</v>
      </c>
      <c r="H738" s="110" t="s">
        <v>70</v>
      </c>
      <c r="I738" s="27" t="s">
        <v>2912</v>
      </c>
      <c r="J738" s="23" t="s">
        <v>1077</v>
      </c>
      <c r="K738" s="102" t="e">
        <v>#N/A</v>
      </c>
      <c r="L738" s="86" t="s">
        <v>2108</v>
      </c>
    </row>
    <row r="739" spans="1:12" s="41" customFormat="1" ht="31.2" customHeight="1" x14ac:dyDescent="0.2">
      <c r="A739" s="111" t="s">
        <v>2620</v>
      </c>
      <c r="B739" s="107" t="s">
        <v>12</v>
      </c>
      <c r="C739" s="106" t="s">
        <v>2621</v>
      </c>
      <c r="D739" s="105">
        <v>1982</v>
      </c>
      <c r="E739" s="84" t="s">
        <v>2622</v>
      </c>
      <c r="F739" s="84" t="s">
        <v>2623</v>
      </c>
      <c r="G739" s="109" t="str">
        <f>HYPERLINK("https://www.lyellcollection.org/toc/sp/10/1")</f>
        <v>https://www.lyellcollection.org/toc/sp/10/1</v>
      </c>
      <c r="H739" s="110" t="s">
        <v>70</v>
      </c>
      <c r="I739" s="27" t="s">
        <v>2912</v>
      </c>
      <c r="J739" s="23" t="s">
        <v>1077</v>
      </c>
      <c r="K739" s="102" t="e">
        <v>#N/A</v>
      </c>
      <c r="L739" s="86" t="s">
        <v>2108</v>
      </c>
    </row>
    <row r="740" spans="1:12" s="41" customFormat="1" ht="31.2" customHeight="1" x14ac:dyDescent="0.2">
      <c r="A740" s="111" t="s">
        <v>2612</v>
      </c>
      <c r="B740" s="116" t="s">
        <v>690</v>
      </c>
      <c r="C740" s="106" t="s">
        <v>2613</v>
      </c>
      <c r="D740" s="105">
        <v>1982</v>
      </c>
      <c r="E740" s="105" t="s">
        <v>2614</v>
      </c>
      <c r="F740" s="105" t="s">
        <v>2615</v>
      </c>
      <c r="G740" s="112" t="s">
        <v>79</v>
      </c>
      <c r="H740" s="191"/>
      <c r="I740" s="192"/>
      <c r="J740" s="23" t="s">
        <v>71</v>
      </c>
      <c r="K740" s="102">
        <v>125</v>
      </c>
      <c r="L740" s="53"/>
    </row>
    <row r="741" spans="1:12" s="41" customFormat="1" ht="31.2" customHeight="1" x14ac:dyDescent="0.2">
      <c r="A741" s="111" t="s">
        <v>2616</v>
      </c>
      <c r="B741" s="116" t="s">
        <v>220</v>
      </c>
      <c r="C741" s="116" t="s">
        <v>2617</v>
      </c>
      <c r="D741" s="105">
        <v>1982</v>
      </c>
      <c r="E741" s="105" t="s">
        <v>2618</v>
      </c>
      <c r="F741" s="105" t="s">
        <v>2619</v>
      </c>
      <c r="G741" s="112" t="s">
        <v>79</v>
      </c>
      <c r="H741" s="191"/>
      <c r="I741" s="192"/>
      <c r="J741" s="23" t="s">
        <v>1077</v>
      </c>
      <c r="K741" s="102" t="e">
        <v>#N/A</v>
      </c>
      <c r="L741" s="53"/>
    </row>
    <row r="742" spans="1:12" s="41" customFormat="1" ht="31.2" customHeight="1" x14ac:dyDescent="0.2">
      <c r="A742" s="111" t="s">
        <v>2624</v>
      </c>
      <c r="B742" s="107" t="s">
        <v>12</v>
      </c>
      <c r="C742" s="106" t="s">
        <v>2625</v>
      </c>
      <c r="D742" s="105">
        <v>1981</v>
      </c>
      <c r="E742" s="84" t="s">
        <v>2626</v>
      </c>
      <c r="F742" s="84" t="s">
        <v>2627</v>
      </c>
      <c r="G742" s="109" t="str">
        <f>HYPERLINK("https://www.lyellcollection.org/toc/sp/9/1")</f>
        <v>https://www.lyellcollection.org/toc/sp/9/1</v>
      </c>
      <c r="H742" s="110" t="s">
        <v>70</v>
      </c>
      <c r="I742" s="27" t="s">
        <v>2912</v>
      </c>
      <c r="J742" s="23" t="s">
        <v>1077</v>
      </c>
      <c r="K742" s="102" t="e">
        <v>#N/A</v>
      </c>
      <c r="L742" s="86" t="s">
        <v>2108</v>
      </c>
    </row>
    <row r="743" spans="1:12" s="41" customFormat="1" ht="31.2" customHeight="1" x14ac:dyDescent="0.2">
      <c r="A743" s="121" t="s">
        <v>2628</v>
      </c>
      <c r="B743" s="122" t="s">
        <v>76</v>
      </c>
      <c r="C743" s="122" t="s">
        <v>2629</v>
      </c>
      <c r="D743" s="127">
        <v>1980</v>
      </c>
      <c r="E743" s="127" t="s">
        <v>2630</v>
      </c>
      <c r="F743" s="127" t="s">
        <v>2631</v>
      </c>
      <c r="G743" s="112" t="s">
        <v>79</v>
      </c>
      <c r="H743" s="191"/>
      <c r="I743" s="192"/>
      <c r="J743" s="23" t="s">
        <v>1077</v>
      </c>
      <c r="K743" s="102" t="e">
        <v>#N/A</v>
      </c>
      <c r="L743" s="53"/>
    </row>
    <row r="744" spans="1:12" s="41" customFormat="1" ht="31.2" customHeight="1" x14ac:dyDescent="0.2">
      <c r="A744" s="111" t="s">
        <v>2632</v>
      </c>
      <c r="B744" s="122" t="s">
        <v>76</v>
      </c>
      <c r="C744" s="116" t="s">
        <v>2633</v>
      </c>
      <c r="D744" s="105">
        <v>1980</v>
      </c>
      <c r="E744" s="105" t="s">
        <v>2634</v>
      </c>
      <c r="F744" s="105" t="s">
        <v>2635</v>
      </c>
      <c r="G744" s="112" t="s">
        <v>79</v>
      </c>
      <c r="H744" s="191"/>
      <c r="I744" s="192"/>
      <c r="J744" s="23" t="s">
        <v>1077</v>
      </c>
      <c r="K744" s="102" t="e">
        <v>#N/A</v>
      </c>
      <c r="L744" s="53"/>
    </row>
    <row r="745" spans="1:12" s="41" customFormat="1" ht="31.2" customHeight="1" x14ac:dyDescent="0.2">
      <c r="A745" s="121" t="s">
        <v>2636</v>
      </c>
      <c r="B745" s="122" t="s">
        <v>76</v>
      </c>
      <c r="C745" s="122" t="s">
        <v>2637</v>
      </c>
      <c r="D745" s="127">
        <v>1980</v>
      </c>
      <c r="E745" s="127" t="s">
        <v>2638</v>
      </c>
      <c r="F745" s="127" t="s">
        <v>2639</v>
      </c>
      <c r="G745" s="112" t="s">
        <v>79</v>
      </c>
      <c r="H745" s="191"/>
      <c r="I745" s="192"/>
      <c r="J745" s="23" t="s">
        <v>1077</v>
      </c>
      <c r="K745" s="102" t="e">
        <v>#N/A</v>
      </c>
      <c r="L745" s="53"/>
    </row>
    <row r="746" spans="1:12" s="41" customFormat="1" ht="31.2" customHeight="1" x14ac:dyDescent="0.2">
      <c r="A746" s="111" t="s">
        <v>2640</v>
      </c>
      <c r="B746" s="107" t="s">
        <v>12</v>
      </c>
      <c r="C746" s="106" t="s">
        <v>2641</v>
      </c>
      <c r="D746" s="105">
        <v>1979</v>
      </c>
      <c r="E746" s="84" t="s">
        <v>2642</v>
      </c>
      <c r="F746" s="84" t="s">
        <v>2643</v>
      </c>
      <c r="G746" s="109" t="str">
        <f>HYPERLINK("https://www.lyellcollection.org/toc/sp/8/1")</f>
        <v>https://www.lyellcollection.org/toc/sp/8/1</v>
      </c>
      <c r="H746" s="110" t="s">
        <v>70</v>
      </c>
      <c r="I746" s="27" t="s">
        <v>2912</v>
      </c>
      <c r="J746" s="23" t="s">
        <v>1077</v>
      </c>
      <c r="K746" s="102" t="e">
        <v>#N/A</v>
      </c>
      <c r="L746" s="86" t="s">
        <v>2108</v>
      </c>
    </row>
    <row r="747" spans="1:12" s="41" customFormat="1" ht="31.2" customHeight="1" x14ac:dyDescent="0.2">
      <c r="A747" s="111" t="s">
        <v>2644</v>
      </c>
      <c r="B747" s="122" t="s">
        <v>76</v>
      </c>
      <c r="C747" s="116" t="s">
        <v>2645</v>
      </c>
      <c r="D747" s="105">
        <v>1978</v>
      </c>
      <c r="E747" s="105" t="s">
        <v>2646</v>
      </c>
      <c r="F747" s="105" t="s">
        <v>2647</v>
      </c>
      <c r="G747" s="112" t="s">
        <v>79</v>
      </c>
      <c r="H747" s="191"/>
      <c r="I747" s="192"/>
      <c r="J747" s="23" t="s">
        <v>1077</v>
      </c>
      <c r="K747" s="102" t="e">
        <v>#N/A</v>
      </c>
      <c r="L747" s="53"/>
    </row>
    <row r="748" spans="1:12" s="41" customFormat="1" ht="31.2" customHeight="1" x14ac:dyDescent="0.2">
      <c r="A748" s="121" t="s">
        <v>2648</v>
      </c>
      <c r="B748" s="122" t="s">
        <v>76</v>
      </c>
      <c r="C748" s="122" t="s">
        <v>2649</v>
      </c>
      <c r="D748" s="127">
        <v>1978</v>
      </c>
      <c r="E748" s="127" t="s">
        <v>14</v>
      </c>
      <c r="F748" s="127" t="s">
        <v>14</v>
      </c>
      <c r="G748" s="112" t="s">
        <v>79</v>
      </c>
      <c r="H748" s="191"/>
      <c r="I748" s="192"/>
      <c r="J748" s="23" t="s">
        <v>1077</v>
      </c>
      <c r="K748" s="102" t="e">
        <v>#N/A</v>
      </c>
      <c r="L748" s="53"/>
    </row>
    <row r="749" spans="1:12" s="41" customFormat="1" ht="31.2" customHeight="1" x14ac:dyDescent="0.2">
      <c r="A749" s="111" t="s">
        <v>2650</v>
      </c>
      <c r="B749" s="122" t="s">
        <v>76</v>
      </c>
      <c r="C749" s="116" t="s">
        <v>2651</v>
      </c>
      <c r="D749" s="105">
        <v>1978</v>
      </c>
      <c r="E749" s="105" t="s">
        <v>2652</v>
      </c>
      <c r="F749" s="105" t="s">
        <v>2653</v>
      </c>
      <c r="G749" s="112" t="s">
        <v>79</v>
      </c>
      <c r="H749" s="191"/>
      <c r="I749" s="192"/>
      <c r="J749" s="23" t="s">
        <v>1077</v>
      </c>
      <c r="K749" s="102" t="e">
        <v>#N/A</v>
      </c>
      <c r="L749" s="53"/>
    </row>
    <row r="750" spans="1:12" s="41" customFormat="1" ht="31.2" customHeight="1" x14ac:dyDescent="0.2">
      <c r="A750" s="121" t="s">
        <v>2654</v>
      </c>
      <c r="B750" s="122" t="s">
        <v>76</v>
      </c>
      <c r="C750" s="122" t="s">
        <v>2655</v>
      </c>
      <c r="D750" s="127">
        <v>1978</v>
      </c>
      <c r="E750" s="127" t="s">
        <v>2656</v>
      </c>
      <c r="F750" s="127" t="s">
        <v>2657</v>
      </c>
      <c r="G750" s="112" t="s">
        <v>79</v>
      </c>
      <c r="H750" s="191"/>
      <c r="I750" s="192"/>
      <c r="J750" s="23" t="s">
        <v>1077</v>
      </c>
      <c r="K750" s="102" t="e">
        <v>#N/A</v>
      </c>
      <c r="L750" s="53"/>
    </row>
    <row r="751" spans="1:12" s="41" customFormat="1" ht="31.2" customHeight="1" x14ac:dyDescent="0.2">
      <c r="A751" s="111" t="s">
        <v>2662</v>
      </c>
      <c r="B751" s="107" t="s">
        <v>12</v>
      </c>
      <c r="C751" s="106" t="s">
        <v>2663</v>
      </c>
      <c r="D751" s="105">
        <v>1978</v>
      </c>
      <c r="E751" s="84" t="s">
        <v>2664</v>
      </c>
      <c r="F751" s="84" t="s">
        <v>2665</v>
      </c>
      <c r="G751" s="109" t="str">
        <f>HYPERLINK("https://www.lyellcollection.org/toc/sp/6/1")</f>
        <v>https://www.lyellcollection.org/toc/sp/6/1</v>
      </c>
      <c r="H751" s="110" t="s">
        <v>70</v>
      </c>
      <c r="I751" s="27" t="s">
        <v>2912</v>
      </c>
      <c r="J751" s="23" t="s">
        <v>1077</v>
      </c>
      <c r="K751" s="102" t="e">
        <v>#N/A</v>
      </c>
      <c r="L751" s="86" t="s">
        <v>2108</v>
      </c>
    </row>
    <row r="752" spans="1:12" s="41" customFormat="1" ht="31.2" customHeight="1" x14ac:dyDescent="0.2">
      <c r="A752" s="111" t="s">
        <v>2658</v>
      </c>
      <c r="B752" s="116" t="s">
        <v>690</v>
      </c>
      <c r="C752" s="106" t="s">
        <v>2659</v>
      </c>
      <c r="D752" s="105">
        <v>1978</v>
      </c>
      <c r="E752" s="105" t="s">
        <v>2660</v>
      </c>
      <c r="F752" s="105" t="s">
        <v>2661</v>
      </c>
      <c r="G752" s="112" t="s">
        <v>79</v>
      </c>
      <c r="H752" s="191"/>
      <c r="I752" s="192"/>
      <c r="J752" s="23" t="s">
        <v>1273</v>
      </c>
      <c r="K752" s="102">
        <v>125</v>
      </c>
      <c r="L752" s="53"/>
    </row>
    <row r="753" spans="1:12" s="41" customFormat="1" ht="31.2" customHeight="1" x14ac:dyDescent="0.2">
      <c r="A753" s="111" t="s">
        <v>2666</v>
      </c>
      <c r="B753" s="113" t="s">
        <v>39</v>
      </c>
      <c r="C753" s="106" t="s">
        <v>2667</v>
      </c>
      <c r="D753" s="105">
        <v>1978</v>
      </c>
      <c r="E753" s="132" t="s">
        <v>2668</v>
      </c>
      <c r="F753" s="125" t="s">
        <v>2669</v>
      </c>
      <c r="G753" s="109" t="str">
        <f>HYPERLINK("https://www.lyellcollection.org/toc/mem/8/1")</f>
        <v>https://www.lyellcollection.org/toc/mem/8/1</v>
      </c>
      <c r="H753" s="110" t="s">
        <v>70</v>
      </c>
      <c r="I753" s="27" t="s">
        <v>2912</v>
      </c>
      <c r="J753" s="23" t="s">
        <v>1077</v>
      </c>
      <c r="K753" s="102" t="e">
        <v>#N/A</v>
      </c>
      <c r="L753" s="53"/>
    </row>
    <row r="754" spans="1:12" s="41" customFormat="1" ht="31.2" customHeight="1" x14ac:dyDescent="0.2">
      <c r="A754" s="111" t="s">
        <v>2670</v>
      </c>
      <c r="B754" s="122" t="s">
        <v>76</v>
      </c>
      <c r="C754" s="116" t="s">
        <v>2671</v>
      </c>
      <c r="D754" s="105">
        <v>1977</v>
      </c>
      <c r="E754" s="105" t="s">
        <v>2672</v>
      </c>
      <c r="F754" s="105" t="s">
        <v>2673</v>
      </c>
      <c r="G754" s="112" t="s">
        <v>79</v>
      </c>
      <c r="H754" s="191"/>
      <c r="I754" s="192"/>
      <c r="J754" s="23" t="s">
        <v>1077</v>
      </c>
      <c r="K754" s="102" t="e">
        <v>#N/A</v>
      </c>
      <c r="L754" s="53"/>
    </row>
    <row r="755" spans="1:12" s="41" customFormat="1" ht="31.2" customHeight="1" x14ac:dyDescent="0.2">
      <c r="A755" s="111" t="s">
        <v>2674</v>
      </c>
      <c r="B755" s="107" t="s">
        <v>12</v>
      </c>
      <c r="C755" s="106" t="s">
        <v>2675</v>
      </c>
      <c r="D755" s="105">
        <v>1977</v>
      </c>
      <c r="E755" s="84" t="s">
        <v>2676</v>
      </c>
      <c r="F755" s="84" t="s">
        <v>2677</v>
      </c>
      <c r="G755" s="109" t="str">
        <f>HYPERLINK("https://www.lyellcollection.org/toc/sp/7/1")</f>
        <v>https://www.lyellcollection.org/toc/sp/7/1</v>
      </c>
      <c r="H755" s="110" t="s">
        <v>70</v>
      </c>
      <c r="I755" s="27" t="s">
        <v>2912</v>
      </c>
      <c r="J755" s="23" t="s">
        <v>1077</v>
      </c>
      <c r="K755" s="102" t="e">
        <v>#N/A</v>
      </c>
      <c r="L755" s="86" t="s">
        <v>2108</v>
      </c>
    </row>
    <row r="756" spans="1:12" s="41" customFormat="1" ht="31.2" customHeight="1" x14ac:dyDescent="0.2">
      <c r="A756" s="121" t="s">
        <v>2678</v>
      </c>
      <c r="B756" s="122" t="s">
        <v>76</v>
      </c>
      <c r="C756" s="122" t="s">
        <v>2679</v>
      </c>
      <c r="D756" s="127">
        <v>1976</v>
      </c>
      <c r="E756" s="127" t="s">
        <v>2680</v>
      </c>
      <c r="F756" s="127" t="s">
        <v>2681</v>
      </c>
      <c r="G756" s="112" t="s">
        <v>79</v>
      </c>
      <c r="H756" s="191"/>
      <c r="I756" s="192"/>
      <c r="J756" s="23" t="s">
        <v>1077</v>
      </c>
      <c r="K756" s="102" t="e">
        <v>#N/A</v>
      </c>
      <c r="L756" s="53"/>
    </row>
    <row r="757" spans="1:12" s="41" customFormat="1" ht="31.2" customHeight="1" x14ac:dyDescent="0.2">
      <c r="A757" s="111" t="s">
        <v>2682</v>
      </c>
      <c r="B757" s="122" t="s">
        <v>76</v>
      </c>
      <c r="C757" s="116" t="s">
        <v>2683</v>
      </c>
      <c r="D757" s="105">
        <v>1975</v>
      </c>
      <c r="E757" s="105" t="s">
        <v>2684</v>
      </c>
      <c r="F757" s="105" t="s">
        <v>2685</v>
      </c>
      <c r="G757" s="112" t="s">
        <v>79</v>
      </c>
      <c r="H757" s="191"/>
      <c r="I757" s="192"/>
      <c r="J757" s="23" t="s">
        <v>1077</v>
      </c>
      <c r="K757" s="102" t="e">
        <v>#N/A</v>
      </c>
      <c r="L757" s="53"/>
    </row>
    <row r="758" spans="1:12" s="41" customFormat="1" ht="31.2" customHeight="1" x14ac:dyDescent="0.2">
      <c r="A758" s="121" t="s">
        <v>2686</v>
      </c>
      <c r="B758" s="122" t="s">
        <v>76</v>
      </c>
      <c r="C758" s="122" t="s">
        <v>2687</v>
      </c>
      <c r="D758" s="127">
        <v>1974</v>
      </c>
      <c r="E758" s="127" t="s">
        <v>14</v>
      </c>
      <c r="F758" s="127" t="s">
        <v>14</v>
      </c>
      <c r="G758" s="112" t="s">
        <v>79</v>
      </c>
      <c r="H758" s="191"/>
      <c r="I758" s="192"/>
      <c r="J758" s="23" t="s">
        <v>1077</v>
      </c>
      <c r="K758" s="102" t="e">
        <v>#N/A</v>
      </c>
      <c r="L758" s="53"/>
    </row>
    <row r="759" spans="1:12" s="41" customFormat="1" ht="31.2" customHeight="1" x14ac:dyDescent="0.2">
      <c r="A759" s="111" t="s">
        <v>2688</v>
      </c>
      <c r="B759" s="107" t="s">
        <v>12</v>
      </c>
      <c r="C759" s="106" t="s">
        <v>2689</v>
      </c>
      <c r="D759" s="105">
        <v>1974</v>
      </c>
      <c r="E759" s="84" t="s">
        <v>2690</v>
      </c>
      <c r="F759" s="84" t="s">
        <v>2691</v>
      </c>
      <c r="G759" s="109" t="str">
        <f>HYPERLINK("https://www.lyellcollection.org/toc/sp/4/1")</f>
        <v>https://www.lyellcollection.org/toc/sp/4/1</v>
      </c>
      <c r="H759" s="110" t="s">
        <v>70</v>
      </c>
      <c r="I759" s="27" t="s">
        <v>2912</v>
      </c>
      <c r="J759" s="23" t="s">
        <v>1077</v>
      </c>
      <c r="K759" s="102" t="e">
        <v>#N/A</v>
      </c>
      <c r="L759" s="86" t="s">
        <v>2108</v>
      </c>
    </row>
    <row r="760" spans="1:12" s="41" customFormat="1" ht="31.2" customHeight="1" x14ac:dyDescent="0.2">
      <c r="A760" s="111" t="s">
        <v>2692</v>
      </c>
      <c r="B760" s="113" t="s">
        <v>39</v>
      </c>
      <c r="C760" s="106" t="s">
        <v>2693</v>
      </c>
      <c r="D760" s="105">
        <v>1973</v>
      </c>
      <c r="E760" s="132" t="s">
        <v>2694</v>
      </c>
      <c r="F760" s="125" t="s">
        <v>2695</v>
      </c>
      <c r="G760" s="109" t="str">
        <f>HYPERLINK("https://www.lyellcollection.org/toc/mem/7/1")</f>
        <v>https://www.lyellcollection.org/toc/mem/7/1</v>
      </c>
      <c r="H760" s="110" t="s">
        <v>70</v>
      </c>
      <c r="I760" s="27" t="s">
        <v>2912</v>
      </c>
      <c r="J760" s="23" t="s">
        <v>1077</v>
      </c>
      <c r="K760" s="102" t="e">
        <v>#N/A</v>
      </c>
      <c r="L760" s="53"/>
    </row>
    <row r="761" spans="1:12" s="41" customFormat="1" ht="31.2" customHeight="1" x14ac:dyDescent="0.2">
      <c r="A761" s="121" t="s">
        <v>2696</v>
      </c>
      <c r="B761" s="122" t="s">
        <v>76</v>
      </c>
      <c r="C761" s="122" t="s">
        <v>2697</v>
      </c>
      <c r="D761" s="127">
        <v>1972</v>
      </c>
      <c r="E761" s="127" t="s">
        <v>14</v>
      </c>
      <c r="F761" s="127" t="s">
        <v>14</v>
      </c>
      <c r="G761" s="112" t="s">
        <v>79</v>
      </c>
      <c r="H761" s="191"/>
      <c r="I761" s="192"/>
      <c r="J761" s="23" t="s">
        <v>1077</v>
      </c>
      <c r="K761" s="102" t="e">
        <v>#N/A</v>
      </c>
      <c r="L761" s="53"/>
    </row>
    <row r="762" spans="1:12" s="41" customFormat="1" ht="31.2" customHeight="1" x14ac:dyDescent="0.2">
      <c r="A762" s="111" t="s">
        <v>2698</v>
      </c>
      <c r="B762" s="122" t="s">
        <v>76</v>
      </c>
      <c r="C762" s="116" t="s">
        <v>2699</v>
      </c>
      <c r="D762" s="105">
        <v>1972</v>
      </c>
      <c r="E762" s="105" t="s">
        <v>2700</v>
      </c>
      <c r="F762" s="105" t="s">
        <v>2701</v>
      </c>
      <c r="G762" s="112" t="s">
        <v>79</v>
      </c>
      <c r="H762" s="191"/>
      <c r="I762" s="192"/>
      <c r="J762" s="23" t="s">
        <v>1077</v>
      </c>
      <c r="K762" s="102" t="e">
        <v>#N/A</v>
      </c>
      <c r="L762" s="53"/>
    </row>
    <row r="763" spans="1:12" s="41" customFormat="1" ht="31.2" customHeight="1" x14ac:dyDescent="0.2">
      <c r="A763" s="111" t="s">
        <v>2702</v>
      </c>
      <c r="B763" s="122" t="s">
        <v>76</v>
      </c>
      <c r="C763" s="116" t="s">
        <v>2703</v>
      </c>
      <c r="D763" s="105">
        <v>1971</v>
      </c>
      <c r="E763" s="105" t="s">
        <v>2704</v>
      </c>
      <c r="F763" s="105" t="s">
        <v>2705</v>
      </c>
      <c r="G763" s="112" t="s">
        <v>79</v>
      </c>
      <c r="H763" s="191"/>
      <c r="I763" s="192"/>
      <c r="J763" s="23" t="s">
        <v>1077</v>
      </c>
      <c r="K763" s="102" t="e">
        <v>#N/A</v>
      </c>
      <c r="L763" s="53"/>
    </row>
    <row r="764" spans="1:12" s="41" customFormat="1" ht="31.2" customHeight="1" x14ac:dyDescent="0.2">
      <c r="A764" s="121" t="s">
        <v>2706</v>
      </c>
      <c r="B764" s="122" t="s">
        <v>76</v>
      </c>
      <c r="C764" s="122" t="s">
        <v>2707</v>
      </c>
      <c r="D764" s="127">
        <v>1971</v>
      </c>
      <c r="E764" s="127" t="s">
        <v>2708</v>
      </c>
      <c r="F764" s="127" t="s">
        <v>2709</v>
      </c>
      <c r="G764" s="112" t="s">
        <v>79</v>
      </c>
      <c r="H764" s="191"/>
      <c r="I764" s="192"/>
      <c r="J764" s="23" t="s">
        <v>1077</v>
      </c>
      <c r="K764" s="102" t="e">
        <v>#N/A</v>
      </c>
      <c r="L764" s="53"/>
    </row>
    <row r="765" spans="1:12" s="41" customFormat="1" ht="31.2" customHeight="1" x14ac:dyDescent="0.2">
      <c r="A765" s="111" t="s">
        <v>2710</v>
      </c>
      <c r="B765" s="107" t="s">
        <v>12</v>
      </c>
      <c r="C765" s="106" t="s">
        <v>2711</v>
      </c>
      <c r="D765" s="105">
        <v>1971</v>
      </c>
      <c r="E765" s="84" t="s">
        <v>2712</v>
      </c>
      <c r="F765" s="84" t="s">
        <v>2713</v>
      </c>
      <c r="G765" s="109" t="str">
        <f>HYPERLINK("https://www.lyellcollection.org/toc/sp/5/1")</f>
        <v>https://www.lyellcollection.org/toc/sp/5/1</v>
      </c>
      <c r="H765" s="110" t="s">
        <v>70</v>
      </c>
      <c r="I765" s="27" t="s">
        <v>2912</v>
      </c>
      <c r="J765" s="23" t="s">
        <v>1077</v>
      </c>
      <c r="K765" s="102" t="e">
        <v>#N/A</v>
      </c>
      <c r="L765" s="86" t="s">
        <v>2108</v>
      </c>
    </row>
    <row r="766" spans="1:12" s="41" customFormat="1" ht="31.2" customHeight="1" x14ac:dyDescent="0.2">
      <c r="A766" s="111" t="s">
        <v>2714</v>
      </c>
      <c r="B766" s="113" t="s">
        <v>39</v>
      </c>
      <c r="C766" s="106" t="s">
        <v>2715</v>
      </c>
      <c r="D766" s="105">
        <v>1971</v>
      </c>
      <c r="E766" s="132" t="s">
        <v>2716</v>
      </c>
      <c r="F766" s="125" t="s">
        <v>2717</v>
      </c>
      <c r="G766" s="109" t="str">
        <f>HYPERLINK("https://www.lyellcollection.org/toc/mem/6/1")</f>
        <v>https://www.lyellcollection.org/toc/mem/6/1</v>
      </c>
      <c r="H766" s="110" t="s">
        <v>70</v>
      </c>
      <c r="I766" s="27" t="s">
        <v>2912</v>
      </c>
      <c r="J766" s="23" t="s">
        <v>1077</v>
      </c>
      <c r="K766" s="102" t="e">
        <v>#N/A</v>
      </c>
      <c r="L766" s="53"/>
    </row>
    <row r="767" spans="1:12" s="41" customFormat="1" ht="31.2" customHeight="1" x14ac:dyDescent="0.2">
      <c r="A767" s="111" t="s">
        <v>2718</v>
      </c>
      <c r="B767" s="113" t="s">
        <v>39</v>
      </c>
      <c r="C767" s="106" t="s">
        <v>2719</v>
      </c>
      <c r="D767" s="105">
        <v>1971</v>
      </c>
      <c r="E767" s="132" t="s">
        <v>2720</v>
      </c>
      <c r="F767" s="125" t="s">
        <v>2721</v>
      </c>
      <c r="G767" s="109" t="str">
        <f>HYPERLINK("https://www.lyellcollection.org/toc/mem/5/1")</f>
        <v>https://www.lyellcollection.org/toc/mem/5/1</v>
      </c>
      <c r="H767" s="110" t="s">
        <v>70</v>
      </c>
      <c r="I767" s="27" t="s">
        <v>2912</v>
      </c>
      <c r="J767" s="23" t="s">
        <v>1077</v>
      </c>
      <c r="K767" s="102" t="e">
        <v>#N/A</v>
      </c>
      <c r="L767" s="53"/>
    </row>
    <row r="768" spans="1:12" s="41" customFormat="1" ht="31.2" customHeight="1" x14ac:dyDescent="0.2">
      <c r="A768" s="111" t="s">
        <v>2722</v>
      </c>
      <c r="B768" s="107" t="s">
        <v>12</v>
      </c>
      <c r="C768" s="106" t="s">
        <v>2723</v>
      </c>
      <c r="D768" s="105">
        <v>1969</v>
      </c>
      <c r="E768" s="84" t="s">
        <v>14</v>
      </c>
      <c r="F768" s="84" t="s">
        <v>14</v>
      </c>
      <c r="G768" s="109" t="str">
        <f>HYPERLINK("https://www.lyellcollection.org/toc/sp/3/1")</f>
        <v>https://www.lyellcollection.org/toc/sp/3/1</v>
      </c>
      <c r="H768" s="110" t="s">
        <v>70</v>
      </c>
      <c r="I768" s="27" t="s">
        <v>2912</v>
      </c>
      <c r="J768" s="23" t="s">
        <v>1077</v>
      </c>
      <c r="K768" s="102" t="e">
        <v>#N/A</v>
      </c>
      <c r="L768" s="86" t="s">
        <v>2108</v>
      </c>
    </row>
    <row r="769" spans="1:27" s="41" customFormat="1" ht="31.2" customHeight="1" x14ac:dyDescent="0.2">
      <c r="A769" s="111" t="s">
        <v>2724</v>
      </c>
      <c r="B769" s="113" t="s">
        <v>39</v>
      </c>
      <c r="C769" s="106" t="s">
        <v>2725</v>
      </c>
      <c r="D769" s="105">
        <v>1968</v>
      </c>
      <c r="E769" s="132" t="s">
        <v>2726</v>
      </c>
      <c r="F769" s="125" t="s">
        <v>2727</v>
      </c>
      <c r="G769" s="109" t="str">
        <f>HYPERLINK("https://www.lyellcollection.org/toc/mem/4/1")</f>
        <v>https://www.lyellcollection.org/toc/mem/4/1</v>
      </c>
      <c r="H769" s="110" t="s">
        <v>70</v>
      </c>
      <c r="I769" s="27" t="s">
        <v>2912</v>
      </c>
      <c r="J769" s="23" t="s">
        <v>1077</v>
      </c>
      <c r="K769" s="102" t="e">
        <v>#N/A</v>
      </c>
      <c r="L769" s="53"/>
    </row>
    <row r="770" spans="1:27" s="41" customFormat="1" ht="31.2" customHeight="1" x14ac:dyDescent="0.2">
      <c r="A770" s="111" t="s">
        <v>2728</v>
      </c>
      <c r="B770" s="107" t="s">
        <v>12</v>
      </c>
      <c r="C770" s="106" t="s">
        <v>2729</v>
      </c>
      <c r="D770" s="105">
        <v>1967</v>
      </c>
      <c r="E770" s="84" t="s">
        <v>2730</v>
      </c>
      <c r="F770" s="84" t="s">
        <v>2731</v>
      </c>
      <c r="G770" s="109" t="str">
        <f>HYPERLINK("https://www.lyellcollection.org/toc/sp/2/1")</f>
        <v>https://www.lyellcollection.org/toc/sp/2/1</v>
      </c>
      <c r="H770" s="110" t="s">
        <v>70</v>
      </c>
      <c r="I770" s="27" t="s">
        <v>2912</v>
      </c>
      <c r="J770" s="23" t="s">
        <v>1077</v>
      </c>
      <c r="K770" s="102" t="e">
        <v>#N/A</v>
      </c>
      <c r="L770" s="86" t="s">
        <v>2108</v>
      </c>
    </row>
    <row r="771" spans="1:27" s="41" customFormat="1" ht="31.2" customHeight="1" x14ac:dyDescent="0.2">
      <c r="A771" s="111" t="s">
        <v>2732</v>
      </c>
      <c r="B771" s="107" t="s">
        <v>12</v>
      </c>
      <c r="C771" s="106" t="s">
        <v>2733</v>
      </c>
      <c r="D771" s="105">
        <v>1964</v>
      </c>
      <c r="E771" s="84" t="s">
        <v>2734</v>
      </c>
      <c r="F771" s="84" t="s">
        <v>2735</v>
      </c>
      <c r="G771" s="109" t="str">
        <f>HYPERLINK("https://www.lyellcollection.org/toc/sp/1/1")</f>
        <v>https://www.lyellcollection.org/toc/sp/1/1</v>
      </c>
      <c r="H771" s="110" t="s">
        <v>70</v>
      </c>
      <c r="I771" s="27" t="s">
        <v>2912</v>
      </c>
      <c r="J771" s="23" t="s">
        <v>1077</v>
      </c>
      <c r="K771" s="102" t="e">
        <v>#N/A</v>
      </c>
      <c r="L771" s="86" t="s">
        <v>2108</v>
      </c>
    </row>
    <row r="772" spans="1:27" s="41" customFormat="1" ht="31.2" customHeight="1" x14ac:dyDescent="0.2">
      <c r="A772" s="111" t="s">
        <v>2736</v>
      </c>
      <c r="B772" s="113" t="s">
        <v>39</v>
      </c>
      <c r="C772" s="106" t="s">
        <v>2737</v>
      </c>
      <c r="D772" s="105">
        <v>1962</v>
      </c>
      <c r="E772" s="132" t="s">
        <v>2738</v>
      </c>
      <c r="F772" s="125" t="s">
        <v>2739</v>
      </c>
      <c r="G772" s="109" t="str">
        <f>HYPERLINK("https://www.lyellcollection.org/toc/mem/3/1")</f>
        <v>https://www.lyellcollection.org/toc/mem/3/1</v>
      </c>
      <c r="H772" s="110" t="s">
        <v>70</v>
      </c>
      <c r="I772" s="27" t="s">
        <v>2912</v>
      </c>
      <c r="J772" s="23" t="s">
        <v>1077</v>
      </c>
      <c r="K772" s="102" t="e">
        <v>#N/A</v>
      </c>
      <c r="L772" s="53"/>
    </row>
    <row r="773" spans="1:27" s="41" customFormat="1" ht="31.2" customHeight="1" x14ac:dyDescent="0.2">
      <c r="A773" s="111" t="s">
        <v>2740</v>
      </c>
      <c r="B773" s="113" t="s">
        <v>39</v>
      </c>
      <c r="C773" s="106" t="s">
        <v>2741</v>
      </c>
      <c r="D773" s="105">
        <v>1960</v>
      </c>
      <c r="E773" s="84" t="s">
        <v>14</v>
      </c>
      <c r="F773" s="84" t="s">
        <v>14</v>
      </c>
      <c r="G773" s="109" t="str">
        <f>HYPERLINK("https://www.lyellcollection.org/toc/mem/2/1")</f>
        <v>https://www.lyellcollection.org/toc/mem/2/1</v>
      </c>
      <c r="H773" s="110" t="s">
        <v>70</v>
      </c>
      <c r="I773" s="27" t="s">
        <v>2912</v>
      </c>
      <c r="J773" s="23" t="s">
        <v>1077</v>
      </c>
      <c r="K773" s="102" t="e">
        <v>#N/A</v>
      </c>
      <c r="L773" s="53"/>
    </row>
    <row r="774" spans="1:27" s="41" customFormat="1" ht="31.2" customHeight="1" x14ac:dyDescent="0.2">
      <c r="A774" s="111" t="s">
        <v>2742</v>
      </c>
      <c r="B774" s="113" t="s">
        <v>39</v>
      </c>
      <c r="C774" s="106" t="s">
        <v>2743</v>
      </c>
      <c r="D774" s="105">
        <v>1958</v>
      </c>
      <c r="E774" s="84" t="s">
        <v>14</v>
      </c>
      <c r="F774" s="84" t="s">
        <v>14</v>
      </c>
      <c r="G774" s="109" t="str">
        <f>HYPERLINK("https://www.lyellcollection.org/toc/mem/1/1")</f>
        <v>https://www.lyellcollection.org/toc/mem/1/1</v>
      </c>
      <c r="H774" s="110" t="s">
        <v>70</v>
      </c>
      <c r="I774" s="27" t="s">
        <v>2912</v>
      </c>
      <c r="J774" s="23" t="s">
        <v>1077</v>
      </c>
      <c r="K774" s="102" t="e">
        <v>#N/A</v>
      </c>
      <c r="L774" s="53"/>
    </row>
    <row r="775" spans="1:27" x14ac:dyDescent="0.2">
      <c r="A775" s="7"/>
      <c r="B775" s="54"/>
      <c r="C775" s="70"/>
      <c r="D775" s="22"/>
      <c r="E775" s="22"/>
      <c r="F775" s="22"/>
      <c r="I775" s="43"/>
    </row>
    <row r="776" spans="1:27" x14ac:dyDescent="0.2">
      <c r="A776" s="7"/>
      <c r="B776" s="54"/>
      <c r="C776" s="70"/>
      <c r="D776" s="22"/>
      <c r="E776" s="22"/>
      <c r="F776" s="22"/>
      <c r="I776" s="43"/>
    </row>
    <row r="777" spans="1:27" x14ac:dyDescent="0.2">
      <c r="A777" s="7"/>
      <c r="B777" s="54"/>
      <c r="C777" s="70"/>
      <c r="D777" s="22"/>
      <c r="E777" s="22"/>
      <c r="F777" s="22"/>
      <c r="I777" s="43"/>
    </row>
    <row r="778" spans="1:27" s="10" customFormat="1" x14ac:dyDescent="0.2">
      <c r="A778" s="9"/>
      <c r="B778" s="55"/>
      <c r="C778" s="10" t="s">
        <v>2988</v>
      </c>
      <c r="D778" s="11"/>
      <c r="E778" s="12"/>
      <c r="F778" s="13"/>
      <c r="G778" s="61"/>
      <c r="H778" s="77"/>
      <c r="I778" s="30"/>
      <c r="J778" s="29"/>
      <c r="K778" s="104"/>
      <c r="L778" s="93"/>
      <c r="M778" s="15"/>
      <c r="N778" s="15"/>
      <c r="O778" s="15"/>
      <c r="P778" s="15"/>
      <c r="Q778" s="14"/>
      <c r="R778" s="14"/>
      <c r="S778" s="14"/>
      <c r="T778" s="14"/>
      <c r="U778" s="14"/>
      <c r="V778" s="14"/>
      <c r="W778" s="14"/>
      <c r="X778" s="14"/>
      <c r="Y778" s="14"/>
      <c r="Z778" s="14"/>
      <c r="AA778" s="14"/>
    </row>
    <row r="779" spans="1:27" s="10" customFormat="1" x14ac:dyDescent="0.2">
      <c r="A779" s="9"/>
      <c r="B779" s="55"/>
      <c r="C779" s="10" t="s">
        <v>2744</v>
      </c>
      <c r="D779" s="11"/>
      <c r="E779" s="12"/>
      <c r="F779" s="13"/>
      <c r="G779" s="61"/>
      <c r="H779" s="77"/>
      <c r="I779" s="30"/>
      <c r="J779" s="30"/>
      <c r="K779" s="104"/>
      <c r="L779" s="93"/>
      <c r="M779" s="15"/>
      <c r="N779" s="15"/>
      <c r="O779" s="15"/>
      <c r="P779" s="15"/>
      <c r="Q779" s="14"/>
      <c r="R779" s="14"/>
      <c r="S779" s="14"/>
      <c r="T779" s="14"/>
      <c r="U779" s="14"/>
      <c r="V779" s="14"/>
      <c r="W779" s="14"/>
      <c r="X779" s="14"/>
      <c r="Y779" s="14"/>
      <c r="Z779" s="14"/>
      <c r="AA779" s="14"/>
    </row>
    <row r="780" spans="1:27" s="10" customFormat="1" x14ac:dyDescent="0.2">
      <c r="A780" s="9"/>
      <c r="B780" s="56"/>
      <c r="C780" s="71"/>
      <c r="D780" s="35"/>
      <c r="E780" s="36"/>
      <c r="F780" s="37"/>
      <c r="G780" s="62"/>
      <c r="H780" s="78"/>
      <c r="I780" s="30"/>
      <c r="J780" s="30"/>
      <c r="K780" s="104"/>
      <c r="L780" s="93"/>
      <c r="M780" s="15"/>
      <c r="N780" s="15"/>
      <c r="O780" s="15"/>
      <c r="P780" s="15"/>
      <c r="Q780" s="14"/>
      <c r="R780" s="14"/>
      <c r="S780" s="14"/>
      <c r="T780" s="14"/>
      <c r="U780" s="14"/>
      <c r="V780" s="14"/>
      <c r="W780" s="14"/>
      <c r="X780" s="14"/>
      <c r="Y780" s="14"/>
      <c r="Z780" s="14"/>
      <c r="AA780" s="14"/>
    </row>
    <row r="781" spans="1:27" s="10" customFormat="1" x14ac:dyDescent="0.2">
      <c r="A781" s="34"/>
      <c r="B781" s="57"/>
      <c r="C781" s="32" t="s">
        <v>2745</v>
      </c>
      <c r="D781" s="248" t="s">
        <v>2746</v>
      </c>
      <c r="E781" s="38"/>
      <c r="F781" s="33"/>
      <c r="G781" s="7"/>
      <c r="H781" s="70"/>
      <c r="I781" s="44"/>
      <c r="J781" s="30"/>
      <c r="K781" s="104"/>
      <c r="L781" s="93"/>
      <c r="M781" s="15"/>
      <c r="N781" s="15"/>
      <c r="O781" s="15"/>
      <c r="P781" s="15"/>
      <c r="Q781" s="14"/>
      <c r="R781" s="14"/>
      <c r="S781" s="14"/>
      <c r="T781" s="14"/>
      <c r="U781" s="14"/>
      <c r="V781" s="14"/>
      <c r="W781" s="14"/>
      <c r="X781" s="14"/>
      <c r="Y781" s="14"/>
      <c r="Z781" s="14"/>
      <c r="AA781" s="14"/>
    </row>
    <row r="782" spans="1:27" s="10" customFormat="1" x14ac:dyDescent="0.2">
      <c r="A782" s="34"/>
      <c r="B782" s="57"/>
      <c r="C782" s="32" t="s">
        <v>2747</v>
      </c>
      <c r="D782" s="249" t="s">
        <v>2748</v>
      </c>
      <c r="E782" s="38"/>
      <c r="F782" s="33"/>
      <c r="G782" s="7"/>
      <c r="H782" s="70"/>
      <c r="I782" s="44"/>
      <c r="J782" s="30"/>
      <c r="K782" s="104"/>
      <c r="L782" s="93"/>
      <c r="M782" s="15"/>
      <c r="N782" s="15"/>
      <c r="O782" s="15"/>
      <c r="P782" s="15"/>
      <c r="Q782" s="14"/>
      <c r="R782" s="14"/>
      <c r="S782" s="14"/>
      <c r="T782" s="14"/>
      <c r="U782" s="14"/>
      <c r="V782" s="14"/>
      <c r="W782" s="14"/>
      <c r="X782" s="14"/>
      <c r="Y782" s="14"/>
      <c r="Z782" s="14"/>
      <c r="AA782" s="14"/>
    </row>
    <row r="783" spans="1:27" s="10" customFormat="1" x14ac:dyDescent="0.2">
      <c r="A783" s="34"/>
      <c r="B783" s="57"/>
      <c r="C783" s="32"/>
      <c r="D783" s="249"/>
      <c r="E783" s="38"/>
      <c r="F783" s="33"/>
      <c r="G783" s="7"/>
      <c r="H783" s="70"/>
      <c r="I783" s="44"/>
      <c r="J783" s="30"/>
      <c r="K783" s="104"/>
      <c r="L783" s="93"/>
      <c r="M783" s="15"/>
      <c r="N783" s="15"/>
      <c r="O783" s="15"/>
      <c r="P783" s="15"/>
      <c r="Q783" s="14"/>
      <c r="R783" s="14"/>
      <c r="S783" s="14"/>
      <c r="T783" s="14"/>
      <c r="U783" s="14"/>
      <c r="V783" s="14"/>
      <c r="W783" s="14"/>
      <c r="X783" s="14"/>
      <c r="Y783" s="14"/>
      <c r="Z783" s="14"/>
      <c r="AA783" s="14"/>
    </row>
    <row r="784" spans="1:27" s="10" customFormat="1" ht="20.399999999999999" x14ac:dyDescent="0.2">
      <c r="A784" s="34"/>
      <c r="B784" s="57"/>
      <c r="C784" s="32" t="s">
        <v>2749</v>
      </c>
      <c r="D784" s="249" t="s">
        <v>2750</v>
      </c>
      <c r="E784" s="38"/>
      <c r="F784" s="11"/>
      <c r="G784" s="7"/>
      <c r="H784" s="70"/>
      <c r="I784" s="44"/>
      <c r="J784" s="30"/>
      <c r="K784" s="104"/>
      <c r="L784" s="93"/>
      <c r="M784" s="15"/>
      <c r="N784" s="15"/>
      <c r="O784" s="15"/>
      <c r="P784" s="15"/>
      <c r="Q784" s="14"/>
      <c r="R784" s="14"/>
      <c r="S784" s="14"/>
      <c r="T784" s="14"/>
      <c r="U784" s="14"/>
      <c r="V784" s="14"/>
      <c r="W784" s="14"/>
      <c r="X784" s="14"/>
      <c r="Y784" s="14"/>
      <c r="Z784" s="14"/>
      <c r="AA784" s="14"/>
    </row>
    <row r="785" spans="1:27" s="10" customFormat="1" x14ac:dyDescent="0.2">
      <c r="A785" s="34"/>
      <c r="B785" s="57"/>
      <c r="C785" s="32"/>
      <c r="D785" s="250"/>
      <c r="E785" s="38"/>
      <c r="F785" s="33"/>
      <c r="G785" s="7"/>
      <c r="H785" s="70"/>
      <c r="I785" s="44"/>
      <c r="J785" s="30"/>
      <c r="K785" s="104"/>
      <c r="L785" s="93"/>
      <c r="M785" s="15"/>
      <c r="N785" s="15"/>
      <c r="O785" s="15"/>
      <c r="P785" s="15"/>
      <c r="Q785" s="14"/>
      <c r="R785" s="14"/>
      <c r="S785" s="14"/>
      <c r="T785" s="14"/>
      <c r="U785" s="14"/>
      <c r="V785" s="14"/>
      <c r="W785" s="14"/>
      <c r="X785" s="14"/>
      <c r="Y785" s="14"/>
      <c r="Z785" s="14"/>
      <c r="AA785" s="14"/>
    </row>
    <row r="786" spans="1:27" s="10" customFormat="1" x14ac:dyDescent="0.2">
      <c r="A786" s="34"/>
      <c r="B786" s="57"/>
      <c r="C786" s="32" t="s">
        <v>2751</v>
      </c>
      <c r="D786" s="249" t="s">
        <v>2752</v>
      </c>
      <c r="E786" s="38"/>
      <c r="F786" s="33"/>
      <c r="G786" s="7"/>
      <c r="H786" s="70"/>
      <c r="I786" s="44"/>
      <c r="J786" s="30"/>
      <c r="K786" s="104"/>
      <c r="L786" s="93"/>
      <c r="M786" s="15"/>
      <c r="N786" s="15"/>
      <c r="O786" s="15"/>
      <c r="P786" s="15"/>
      <c r="Q786" s="14"/>
      <c r="R786" s="14"/>
      <c r="S786" s="14"/>
      <c r="T786" s="14"/>
      <c r="U786" s="14"/>
      <c r="V786" s="14"/>
      <c r="W786" s="14"/>
      <c r="X786" s="14"/>
      <c r="Y786" s="14"/>
      <c r="Z786" s="14"/>
      <c r="AA786" s="14"/>
    </row>
    <row r="787" spans="1:27" s="10" customFormat="1" x14ac:dyDescent="0.2">
      <c r="A787" s="34"/>
      <c r="B787" s="57"/>
      <c r="C787" s="32" t="s">
        <v>2753</v>
      </c>
      <c r="D787" s="294" t="s">
        <v>2909</v>
      </c>
      <c r="E787" s="38"/>
      <c r="F787" s="33"/>
      <c r="G787" s="7"/>
      <c r="H787" s="70"/>
      <c r="I787" s="44"/>
      <c r="J787" s="30"/>
      <c r="K787" s="104"/>
      <c r="L787" s="93"/>
      <c r="M787" s="15"/>
      <c r="N787" s="15"/>
      <c r="O787" s="15"/>
      <c r="P787" s="15"/>
      <c r="Q787" s="14"/>
      <c r="R787" s="14"/>
      <c r="S787" s="14"/>
      <c r="T787" s="14"/>
      <c r="U787" s="14"/>
      <c r="V787" s="14"/>
      <c r="W787" s="14"/>
      <c r="X787" s="14"/>
      <c r="Y787" s="14"/>
      <c r="Z787" s="14"/>
      <c r="AA787" s="14"/>
    </row>
    <row r="788" spans="1:27" s="10" customFormat="1" x14ac:dyDescent="0.2">
      <c r="A788" s="34"/>
      <c r="B788" s="57"/>
      <c r="C788" s="32" t="s">
        <v>2754</v>
      </c>
      <c r="D788" s="249" t="s">
        <v>2755</v>
      </c>
      <c r="E788" s="38"/>
      <c r="F788" s="33"/>
      <c r="G788" s="7"/>
      <c r="H788" s="70"/>
      <c r="I788" s="44"/>
      <c r="J788" s="30"/>
      <c r="K788" s="104"/>
      <c r="L788" s="93"/>
      <c r="M788" s="15"/>
      <c r="N788" s="15"/>
      <c r="O788" s="15"/>
      <c r="P788" s="15"/>
      <c r="Q788" s="14"/>
      <c r="R788" s="14"/>
      <c r="S788" s="14"/>
      <c r="T788" s="14"/>
      <c r="U788" s="14"/>
      <c r="V788" s="14"/>
      <c r="W788" s="14"/>
      <c r="X788" s="14"/>
      <c r="Y788" s="14"/>
      <c r="Z788" s="14"/>
      <c r="AA788" s="14"/>
    </row>
    <row r="789" spans="1:27" s="10" customFormat="1" x14ac:dyDescent="0.2">
      <c r="A789" s="34"/>
      <c r="B789" s="57"/>
      <c r="C789" s="32"/>
      <c r="D789" s="249"/>
      <c r="E789" s="38"/>
      <c r="F789" s="33"/>
      <c r="G789" s="7"/>
      <c r="H789" s="70"/>
      <c r="I789" s="44"/>
      <c r="J789" s="30"/>
      <c r="K789" s="104"/>
      <c r="L789" s="93"/>
      <c r="M789" s="15"/>
      <c r="N789" s="15"/>
      <c r="O789" s="15"/>
      <c r="P789" s="15"/>
      <c r="Q789" s="14"/>
      <c r="R789" s="14"/>
      <c r="S789" s="14"/>
      <c r="T789" s="14"/>
      <c r="U789" s="14"/>
      <c r="V789" s="14"/>
      <c r="W789" s="14"/>
      <c r="X789" s="14"/>
      <c r="Y789" s="14"/>
      <c r="Z789" s="14"/>
      <c r="AA789" s="14"/>
    </row>
    <row r="790" spans="1:27" s="10" customFormat="1" x14ac:dyDescent="0.2">
      <c r="A790" s="34"/>
      <c r="B790" s="57"/>
      <c r="C790" s="32" t="s">
        <v>2756</v>
      </c>
      <c r="D790" s="249" t="s">
        <v>2757</v>
      </c>
      <c r="E790" s="38"/>
      <c r="F790" s="33"/>
      <c r="G790" s="7"/>
      <c r="H790" s="70"/>
      <c r="I790" s="44"/>
      <c r="J790" s="30"/>
      <c r="K790" s="104"/>
      <c r="L790" s="93"/>
      <c r="M790" s="15"/>
      <c r="N790" s="15"/>
      <c r="O790" s="15"/>
      <c r="P790" s="15"/>
      <c r="Q790" s="14"/>
      <c r="R790" s="14"/>
      <c r="S790" s="14"/>
      <c r="T790" s="14"/>
      <c r="U790" s="14"/>
      <c r="V790" s="14"/>
      <c r="W790" s="14"/>
      <c r="X790" s="14"/>
      <c r="Y790" s="14"/>
      <c r="Z790" s="14"/>
      <c r="AA790" s="14"/>
    </row>
    <row r="791" spans="1:27" s="10" customFormat="1" x14ac:dyDescent="0.2">
      <c r="A791" s="34"/>
      <c r="B791" s="57"/>
      <c r="C791" s="32"/>
      <c r="D791" s="249"/>
      <c r="E791" s="38"/>
      <c r="F791" s="11"/>
      <c r="G791" s="7"/>
      <c r="H791" s="70"/>
      <c r="I791" s="44"/>
      <c r="J791" s="30"/>
      <c r="K791" s="104"/>
      <c r="L791" s="93"/>
      <c r="M791" s="15"/>
      <c r="N791" s="15"/>
      <c r="O791" s="15"/>
      <c r="P791" s="15"/>
      <c r="Q791" s="14"/>
      <c r="R791" s="14"/>
      <c r="S791" s="14"/>
      <c r="T791" s="14"/>
      <c r="U791" s="14"/>
      <c r="V791" s="14"/>
      <c r="W791" s="14"/>
      <c r="X791" s="14"/>
      <c r="Y791" s="14"/>
      <c r="Z791" s="14"/>
      <c r="AA791" s="14"/>
    </row>
    <row r="792" spans="1:27" s="10" customFormat="1" x14ac:dyDescent="0.2">
      <c r="A792" s="34"/>
      <c r="B792" s="57"/>
      <c r="C792" s="32" t="s">
        <v>2758</v>
      </c>
      <c r="D792" s="249" t="s">
        <v>2759</v>
      </c>
      <c r="E792" s="38"/>
      <c r="F792" s="33"/>
      <c r="G792" s="7"/>
      <c r="H792" s="70"/>
      <c r="I792" s="44"/>
      <c r="J792" s="30"/>
      <c r="K792" s="104"/>
      <c r="L792" s="93"/>
      <c r="M792" s="15"/>
      <c r="N792" s="15"/>
      <c r="O792" s="15"/>
      <c r="P792" s="15"/>
      <c r="Q792" s="14"/>
      <c r="R792" s="14"/>
      <c r="S792" s="14"/>
      <c r="T792" s="14"/>
      <c r="U792" s="14"/>
      <c r="V792" s="14"/>
      <c r="W792" s="14"/>
      <c r="X792" s="14"/>
      <c r="Y792" s="14"/>
      <c r="Z792" s="14"/>
      <c r="AA792" s="14"/>
    </row>
    <row r="793" spans="1:27" s="10" customFormat="1" x14ac:dyDescent="0.2">
      <c r="A793" s="34"/>
      <c r="B793" s="57"/>
      <c r="C793" s="251" t="s">
        <v>2908</v>
      </c>
      <c r="D793" s="252" t="s">
        <v>2957</v>
      </c>
      <c r="E793" s="38"/>
      <c r="F793" s="33"/>
      <c r="G793" s="7"/>
      <c r="H793" s="70"/>
      <c r="I793" s="44"/>
      <c r="J793" s="30"/>
      <c r="K793" s="104"/>
      <c r="L793" s="93"/>
      <c r="M793" s="15"/>
      <c r="N793" s="15"/>
      <c r="O793" s="15"/>
      <c r="P793" s="15"/>
      <c r="Q793" s="14"/>
      <c r="R793" s="14"/>
      <c r="S793" s="14"/>
      <c r="T793" s="14"/>
      <c r="U793" s="14"/>
      <c r="V793" s="14"/>
      <c r="W793" s="14"/>
      <c r="X793" s="14"/>
      <c r="Y793" s="14"/>
      <c r="Z793" s="14"/>
      <c r="AA793" s="14"/>
    </row>
    <row r="794" spans="1:27" s="10" customFormat="1" x14ac:dyDescent="0.2">
      <c r="A794" s="34"/>
      <c r="B794" s="57"/>
      <c r="C794" s="8"/>
      <c r="D794" s="230"/>
      <c r="E794" s="38"/>
      <c r="F794" s="33"/>
      <c r="G794" s="7"/>
      <c r="H794" s="70"/>
      <c r="I794" s="44"/>
      <c r="J794" s="30"/>
      <c r="K794" s="104"/>
      <c r="L794" s="93"/>
      <c r="M794" s="15"/>
      <c r="N794" s="15"/>
      <c r="O794" s="15"/>
      <c r="P794" s="15"/>
      <c r="Q794" s="14"/>
      <c r="R794" s="14"/>
      <c r="S794" s="14"/>
      <c r="T794" s="14"/>
      <c r="U794" s="14"/>
      <c r="V794" s="14"/>
      <c r="W794" s="14"/>
      <c r="X794" s="14"/>
      <c r="Y794" s="14"/>
      <c r="Z794" s="14"/>
      <c r="AA794" s="14"/>
    </row>
    <row r="795" spans="1:27" s="10" customFormat="1" x14ac:dyDescent="0.2">
      <c r="A795" s="34"/>
      <c r="B795" s="57"/>
      <c r="C795" s="7" t="s">
        <v>2911</v>
      </c>
      <c r="D795" s="39"/>
      <c r="E795" s="38"/>
      <c r="F795" s="33"/>
      <c r="G795" s="7"/>
      <c r="H795" s="70"/>
      <c r="I795" s="44"/>
      <c r="J795" s="30"/>
      <c r="K795" s="104"/>
      <c r="L795" s="93"/>
      <c r="M795" s="15"/>
      <c r="N795" s="15"/>
      <c r="O795" s="15"/>
      <c r="P795" s="15"/>
      <c r="Q795" s="14"/>
      <c r="R795" s="14"/>
      <c r="S795" s="14"/>
      <c r="T795" s="14"/>
      <c r="U795" s="14"/>
      <c r="V795" s="14"/>
      <c r="W795" s="14"/>
      <c r="X795" s="14"/>
      <c r="Y795" s="14"/>
      <c r="Z795" s="14"/>
      <c r="AA795" s="14"/>
    </row>
    <row r="796" spans="1:27" s="10" customFormat="1" x14ac:dyDescent="0.2">
      <c r="A796" s="34"/>
      <c r="B796" s="57"/>
      <c r="C796" s="69" t="s">
        <v>2910</v>
      </c>
      <c r="D796" s="39"/>
      <c r="E796" s="38"/>
      <c r="F796" s="33"/>
      <c r="G796" s="7"/>
      <c r="H796" s="70"/>
      <c r="I796" s="44"/>
      <c r="J796" s="30"/>
      <c r="K796" s="104"/>
      <c r="L796" s="93"/>
      <c r="M796" s="15"/>
      <c r="N796" s="15"/>
      <c r="O796" s="15"/>
      <c r="P796" s="15"/>
      <c r="Q796" s="14"/>
      <c r="R796" s="14"/>
      <c r="S796" s="14"/>
      <c r="T796" s="14"/>
      <c r="U796" s="14"/>
      <c r="V796" s="14"/>
      <c r="W796" s="14"/>
      <c r="X796" s="14"/>
      <c r="Y796" s="14"/>
      <c r="Z796" s="14"/>
      <c r="AA796" s="14"/>
    </row>
    <row r="797" spans="1:27" s="10" customFormat="1" x14ac:dyDescent="0.2">
      <c r="A797" s="34"/>
      <c r="B797" s="57"/>
      <c r="C797" s="69"/>
      <c r="D797" s="39"/>
      <c r="E797" s="38"/>
      <c r="F797" s="33"/>
      <c r="G797" s="7"/>
      <c r="H797" s="70"/>
      <c r="I797" s="44"/>
      <c r="J797" s="30"/>
      <c r="K797" s="104"/>
      <c r="L797" s="93"/>
      <c r="M797" s="15"/>
      <c r="N797" s="15"/>
      <c r="O797" s="15"/>
      <c r="P797" s="15"/>
      <c r="Q797" s="14"/>
      <c r="R797" s="14"/>
      <c r="S797" s="14"/>
      <c r="T797" s="14"/>
      <c r="U797" s="14"/>
      <c r="V797" s="14"/>
      <c r="W797" s="14"/>
      <c r="X797" s="14"/>
      <c r="Y797" s="14"/>
      <c r="Z797" s="14"/>
      <c r="AA797" s="14"/>
    </row>
    <row r="814" spans="3:12" s="19" customFormat="1" x14ac:dyDescent="0.25">
      <c r="C814" s="73"/>
      <c r="D814" s="20"/>
      <c r="E814" s="20"/>
      <c r="F814" s="22"/>
      <c r="G814" s="17"/>
      <c r="H814" s="79"/>
      <c r="K814" s="20"/>
      <c r="L814" s="73"/>
    </row>
    <row r="815" spans="3:12" s="19" customFormat="1" x14ac:dyDescent="0.25">
      <c r="C815" s="73"/>
      <c r="D815" s="20"/>
      <c r="E815" s="20"/>
      <c r="F815" s="22"/>
      <c r="G815" s="17"/>
      <c r="H815" s="79"/>
      <c r="K815" s="20"/>
      <c r="L815" s="73"/>
    </row>
    <row r="816" spans="3:12" s="19" customFormat="1" x14ac:dyDescent="0.25">
      <c r="C816" s="73"/>
      <c r="D816" s="20"/>
      <c r="E816" s="20"/>
      <c r="F816" s="22"/>
      <c r="G816" s="17"/>
      <c r="H816" s="79"/>
      <c r="K816" s="20"/>
      <c r="L816" s="73"/>
    </row>
    <row r="817" spans="1:12" s="19" customFormat="1" x14ac:dyDescent="0.25">
      <c r="C817" s="73"/>
      <c r="D817" s="20"/>
      <c r="E817" s="20"/>
      <c r="F817" s="22"/>
      <c r="G817" s="17"/>
      <c r="H817" s="79"/>
      <c r="K817" s="20"/>
      <c r="L817" s="73"/>
    </row>
    <row r="818" spans="1:12" s="19" customFormat="1" x14ac:dyDescent="0.25">
      <c r="C818" s="73"/>
      <c r="D818" s="20"/>
      <c r="E818" s="20"/>
      <c r="F818" s="22"/>
      <c r="G818" s="17"/>
      <c r="H818" s="79"/>
      <c r="K818" s="20"/>
      <c r="L818" s="73"/>
    </row>
    <row r="819" spans="1:12" s="19" customFormat="1" x14ac:dyDescent="0.25">
      <c r="C819" s="73"/>
      <c r="D819" s="20"/>
      <c r="E819" s="20"/>
      <c r="F819" s="22"/>
      <c r="G819" s="17"/>
      <c r="H819" s="79"/>
      <c r="K819" s="20"/>
      <c r="L819" s="73"/>
    </row>
    <row r="820" spans="1:12" s="19" customFormat="1" x14ac:dyDescent="0.25">
      <c r="C820" s="73"/>
      <c r="D820" s="20"/>
      <c r="E820" s="20"/>
      <c r="F820" s="22"/>
      <c r="G820" s="17"/>
      <c r="H820" s="79"/>
      <c r="K820" s="20"/>
      <c r="L820" s="73"/>
    </row>
    <row r="821" spans="1:12" s="19" customFormat="1" x14ac:dyDescent="0.25">
      <c r="C821" s="73"/>
      <c r="D821" s="20"/>
      <c r="E821" s="20"/>
      <c r="F821" s="22"/>
      <c r="G821" s="17"/>
      <c r="H821" s="79"/>
      <c r="K821" s="20"/>
      <c r="L821" s="73"/>
    </row>
    <row r="822" spans="1:12" s="19" customFormat="1" x14ac:dyDescent="0.25">
      <c r="C822" s="73"/>
      <c r="D822" s="20"/>
      <c r="E822" s="20"/>
      <c r="F822" s="22"/>
      <c r="G822" s="17"/>
      <c r="H822" s="79"/>
      <c r="K822" s="20"/>
      <c r="L822" s="73"/>
    </row>
    <row r="823" spans="1:12" s="19" customFormat="1" x14ac:dyDescent="0.25">
      <c r="C823" s="73"/>
      <c r="D823" s="20"/>
      <c r="E823" s="20"/>
      <c r="F823" s="22"/>
      <c r="G823" s="17"/>
      <c r="H823" s="79"/>
      <c r="K823" s="20"/>
      <c r="L823" s="73"/>
    </row>
    <row r="824" spans="1:12" s="19" customFormat="1" x14ac:dyDescent="0.25">
      <c r="C824" s="73"/>
      <c r="D824" s="20"/>
      <c r="E824" s="20"/>
      <c r="F824" s="22"/>
      <c r="G824" s="17"/>
      <c r="H824" s="79"/>
      <c r="K824" s="20"/>
      <c r="L824" s="73"/>
    </row>
    <row r="825" spans="1:12" s="19" customFormat="1" x14ac:dyDescent="0.25">
      <c r="C825" s="73"/>
      <c r="D825" s="20"/>
      <c r="E825" s="20"/>
      <c r="F825" s="22"/>
      <c r="G825" s="17"/>
      <c r="H825" s="79"/>
      <c r="K825" s="20"/>
      <c r="L825" s="73"/>
    </row>
    <row r="826" spans="1:12" s="19" customFormat="1" x14ac:dyDescent="0.25">
      <c r="C826" s="73"/>
      <c r="D826" s="20"/>
      <c r="E826" s="20"/>
      <c r="F826" s="22"/>
      <c r="G826" s="17"/>
      <c r="H826" s="79"/>
      <c r="K826" s="20"/>
      <c r="L826" s="73"/>
    </row>
    <row r="827" spans="1:12" s="19" customFormat="1" x14ac:dyDescent="0.25">
      <c r="C827" s="73"/>
      <c r="D827" s="20"/>
      <c r="E827" s="20"/>
      <c r="F827" s="22"/>
      <c r="G827" s="17"/>
      <c r="H827" s="79"/>
      <c r="K827" s="20"/>
      <c r="L827" s="73"/>
    </row>
    <row r="828" spans="1:12" s="19" customFormat="1" x14ac:dyDescent="0.25">
      <c r="C828" s="73"/>
      <c r="D828" s="20"/>
      <c r="E828" s="20"/>
      <c r="F828" s="22"/>
      <c r="G828" s="17"/>
      <c r="H828" s="79"/>
      <c r="K828" s="20"/>
      <c r="L828" s="92"/>
    </row>
    <row r="829" spans="1:12" s="19" customFormat="1" x14ac:dyDescent="0.25">
      <c r="C829" s="73"/>
      <c r="D829" s="20"/>
      <c r="E829" s="20"/>
      <c r="F829" s="22"/>
      <c r="G829" s="17"/>
      <c r="H829" s="79"/>
      <c r="K829" s="20"/>
      <c r="L829" s="92"/>
    </row>
    <row r="830" spans="1:12" s="19" customFormat="1" x14ac:dyDescent="0.25">
      <c r="C830" s="73"/>
      <c r="D830" s="20"/>
      <c r="E830" s="20"/>
      <c r="F830" s="22"/>
      <c r="G830" s="17"/>
      <c r="H830" s="79"/>
      <c r="K830" s="20"/>
      <c r="L830" s="92"/>
    </row>
    <row r="831" spans="1:12" s="19" customFormat="1" x14ac:dyDescent="0.25">
      <c r="C831" s="73"/>
      <c r="D831" s="20"/>
      <c r="E831" s="20"/>
      <c r="F831" s="22"/>
      <c r="G831" s="17"/>
      <c r="H831" s="79"/>
      <c r="K831" s="20"/>
      <c r="L831" s="92"/>
    </row>
    <row r="832" spans="1:12" s="19" customFormat="1" x14ac:dyDescent="0.25">
      <c r="A832" s="18"/>
      <c r="B832" s="59"/>
      <c r="C832" s="73"/>
      <c r="D832" s="20"/>
      <c r="E832" s="20"/>
      <c r="F832" s="22"/>
      <c r="G832" s="7"/>
      <c r="H832" s="70"/>
      <c r="I832" s="28"/>
      <c r="J832" s="28"/>
      <c r="K832" s="103"/>
      <c r="L832" s="92"/>
    </row>
    <row r="833" spans="1:12" s="19" customFormat="1" x14ac:dyDescent="0.25">
      <c r="A833" s="18"/>
      <c r="B833" s="59"/>
      <c r="C833" s="73"/>
      <c r="D833" s="20"/>
      <c r="E833" s="20"/>
      <c r="F833" s="22"/>
      <c r="G833" s="7"/>
      <c r="H833" s="70"/>
      <c r="I833" s="28"/>
      <c r="J833" s="28"/>
      <c r="K833" s="103"/>
      <c r="L833" s="92"/>
    </row>
    <row r="834" spans="1:12" s="19" customFormat="1" x14ac:dyDescent="0.25">
      <c r="A834" s="18"/>
      <c r="B834" s="59"/>
      <c r="C834" s="73"/>
      <c r="D834" s="20"/>
      <c r="E834" s="20"/>
      <c r="F834" s="22"/>
      <c r="G834" s="7"/>
      <c r="H834" s="70"/>
      <c r="I834" s="28"/>
      <c r="J834" s="28"/>
      <c r="K834" s="103"/>
      <c r="L834" s="92"/>
    </row>
    <row r="835" spans="1:12" s="19" customFormat="1" x14ac:dyDescent="0.25">
      <c r="A835" s="18"/>
      <c r="B835" s="59"/>
      <c r="C835" s="73"/>
      <c r="D835" s="20"/>
      <c r="E835" s="20"/>
      <c r="F835" s="22"/>
      <c r="G835" s="7"/>
      <c r="H835" s="70"/>
      <c r="I835" s="28"/>
      <c r="J835" s="28"/>
      <c r="K835" s="103"/>
      <c r="L835" s="92"/>
    </row>
    <row r="836" spans="1:12" s="19" customFormat="1" x14ac:dyDescent="0.25">
      <c r="A836" s="18"/>
      <c r="B836" s="59"/>
      <c r="C836" s="73"/>
      <c r="D836" s="20"/>
      <c r="E836" s="20"/>
      <c r="F836" s="22"/>
      <c r="G836" s="7"/>
      <c r="H836" s="70"/>
      <c r="I836" s="28"/>
      <c r="J836" s="28"/>
      <c r="K836" s="103"/>
      <c r="L836" s="92"/>
    </row>
    <row r="837" spans="1:12" s="19" customFormat="1" x14ac:dyDescent="0.25">
      <c r="A837" s="18"/>
      <c r="B837" s="59"/>
      <c r="C837" s="73"/>
      <c r="D837" s="20"/>
      <c r="E837" s="20"/>
      <c r="F837" s="22"/>
      <c r="G837" s="7"/>
      <c r="H837" s="70"/>
      <c r="I837" s="28"/>
      <c r="J837" s="28"/>
      <c r="K837" s="103"/>
      <c r="L837" s="92"/>
    </row>
    <row r="838" spans="1:12" s="19" customFormat="1" x14ac:dyDescent="0.25">
      <c r="A838" s="18"/>
      <c r="B838" s="59"/>
      <c r="C838" s="73"/>
      <c r="D838" s="20"/>
      <c r="E838" s="20"/>
      <c r="F838" s="22"/>
      <c r="G838" s="7"/>
      <c r="H838" s="70"/>
      <c r="I838" s="28"/>
      <c r="J838" s="28"/>
      <c r="K838" s="103"/>
      <c r="L838" s="92"/>
    </row>
    <row r="839" spans="1:12" s="19" customFormat="1" x14ac:dyDescent="0.25">
      <c r="A839" s="18"/>
      <c r="B839" s="59"/>
      <c r="C839" s="73"/>
      <c r="D839" s="20"/>
      <c r="E839" s="20"/>
      <c r="F839" s="22"/>
      <c r="G839" s="7"/>
      <c r="H839" s="70"/>
      <c r="I839" s="28"/>
      <c r="J839" s="28"/>
      <c r="K839" s="103"/>
      <c r="L839" s="92"/>
    </row>
    <row r="840" spans="1:12" s="19" customFormat="1" x14ac:dyDescent="0.25">
      <c r="A840" s="18"/>
      <c r="B840" s="59"/>
      <c r="C840" s="73"/>
      <c r="D840" s="20"/>
      <c r="E840" s="20"/>
      <c r="F840" s="22"/>
      <c r="G840" s="7"/>
      <c r="H840" s="70"/>
      <c r="I840" s="28"/>
      <c r="J840" s="28"/>
      <c r="K840" s="103"/>
      <c r="L840" s="92"/>
    </row>
    <row r="841" spans="1:12" s="19" customFormat="1" x14ac:dyDescent="0.25">
      <c r="A841" s="18"/>
      <c r="B841" s="59"/>
      <c r="C841" s="73"/>
      <c r="D841" s="20"/>
      <c r="E841" s="20"/>
      <c r="F841" s="22"/>
      <c r="G841" s="7"/>
      <c r="H841" s="70"/>
      <c r="I841" s="28"/>
      <c r="J841" s="28"/>
      <c r="K841" s="103"/>
      <c r="L841" s="92"/>
    </row>
    <row r="842" spans="1:12" s="19" customFormat="1" x14ac:dyDescent="0.25">
      <c r="A842" s="18"/>
      <c r="B842" s="59"/>
      <c r="C842" s="73"/>
      <c r="D842" s="20"/>
      <c r="E842" s="20"/>
      <c r="F842" s="22"/>
      <c r="G842" s="7"/>
      <c r="H842" s="70"/>
      <c r="I842" s="28"/>
      <c r="J842" s="28"/>
      <c r="K842" s="103"/>
      <c r="L842" s="92"/>
    </row>
    <row r="843" spans="1:12" s="19" customFormat="1" x14ac:dyDescent="0.25">
      <c r="A843" s="18"/>
      <c r="B843" s="59"/>
      <c r="C843" s="73"/>
      <c r="D843" s="20"/>
      <c r="E843" s="20"/>
      <c r="F843" s="22"/>
      <c r="G843" s="7"/>
      <c r="H843" s="70"/>
      <c r="I843" s="28"/>
      <c r="J843" s="28"/>
      <c r="K843" s="103"/>
      <c r="L843" s="92"/>
    </row>
  </sheetData>
  <sortState xmlns:xlrd2="http://schemas.microsoft.com/office/spreadsheetml/2017/richdata2" ref="A3:AC8">
    <sortCondition descending="1" ref="A3:A8"/>
  </sortState>
  <conditionalFormatting sqref="F21 F16">
    <cfRule type="duplicateValues" dxfId="20" priority="2"/>
  </conditionalFormatting>
  <conditionalFormatting sqref="F26">
    <cfRule type="duplicateValues" dxfId="19" priority="5"/>
  </conditionalFormatting>
  <conditionalFormatting sqref="F30 F23">
    <cfRule type="duplicateValues" dxfId="18" priority="3"/>
  </conditionalFormatting>
  <conditionalFormatting sqref="F51">
    <cfRule type="duplicateValues" dxfId="17" priority="10"/>
  </conditionalFormatting>
  <conditionalFormatting sqref="F68">
    <cfRule type="duplicateValues" dxfId="16" priority="8"/>
  </conditionalFormatting>
  <conditionalFormatting sqref="F69">
    <cfRule type="duplicateValues" dxfId="15" priority="6"/>
  </conditionalFormatting>
  <conditionalFormatting sqref="F71:F72 F67">
    <cfRule type="duplicateValues" dxfId="14" priority="25"/>
  </conditionalFormatting>
  <conditionalFormatting sqref="F75">
    <cfRule type="duplicateValues" dxfId="13" priority="18"/>
  </conditionalFormatting>
  <conditionalFormatting sqref="F76">
    <cfRule type="duplicateValues" dxfId="12" priority="20"/>
  </conditionalFormatting>
  <conditionalFormatting sqref="F79">
    <cfRule type="duplicateValues" dxfId="11" priority="11"/>
  </conditionalFormatting>
  <conditionalFormatting sqref="F80">
    <cfRule type="duplicateValues" dxfId="10" priority="13"/>
  </conditionalFormatting>
  <conditionalFormatting sqref="F81">
    <cfRule type="duplicateValues" dxfId="9" priority="12"/>
  </conditionalFormatting>
  <conditionalFormatting sqref="F84">
    <cfRule type="duplicateValues" dxfId="8" priority="16"/>
  </conditionalFormatting>
  <conditionalFormatting sqref="F86">
    <cfRule type="duplicateValues" dxfId="7" priority="15"/>
  </conditionalFormatting>
  <conditionalFormatting sqref="F87">
    <cfRule type="duplicateValues" dxfId="6" priority="23"/>
  </conditionalFormatting>
  <conditionalFormatting sqref="F90">
    <cfRule type="duplicateValues" dxfId="5" priority="22"/>
  </conditionalFormatting>
  <conditionalFormatting sqref="F92">
    <cfRule type="duplicateValues" dxfId="4" priority="21"/>
  </conditionalFormatting>
  <conditionalFormatting sqref="F93 F88 F83 F85">
    <cfRule type="duplicateValues" dxfId="3" priority="24"/>
  </conditionalFormatting>
  <conditionalFormatting sqref="F578">
    <cfRule type="duplicateValues" dxfId="2" priority="14"/>
  </conditionalFormatting>
  <conditionalFormatting sqref="F634">
    <cfRule type="duplicateValues" dxfId="1" priority="19"/>
  </conditionalFormatting>
  <hyperlinks>
    <hyperlink ref="D792" r:id="rId1" xr:uid="{519CD760-29DB-4716-9484-1FC1CCA05DFE}"/>
    <hyperlink ref="D784" r:id="rId2" xr:uid="{DECB0BF5-9D92-4436-82F9-87C60F679D3F}"/>
    <hyperlink ref="D782" r:id="rId3" xr:uid="{6ADD7E2A-3DED-41C0-BCA0-DF59A6DA018F}"/>
    <hyperlink ref="D787" r:id="rId4" location="marckbart" xr:uid="{4C6003EF-13C6-4ECE-8823-849958862D34}"/>
    <hyperlink ref="D786" r:id="rId5" xr:uid="{D2A7083A-D310-4FBC-9C89-270F707EBF79}"/>
    <hyperlink ref="D788" r:id="rId6" xr:uid="{80A17E01-2768-4C99-9324-CBB311865E62}"/>
  </hyperlinks>
  <printOptions horizontalCentered="1"/>
  <pageMargins left="0.39370078740157483" right="0.39370078740157483" top="0.86614173228346458" bottom="0.51181102362204722" header="0.39370078740157483" footer="0.31496062992125984"/>
  <pageSetup paperSize="9" scale="60" orientation="landscape" r:id="rId7"/>
  <headerFooter>
    <oddHeader>&amp;L&amp;G&amp;R&amp;G</oddHeader>
    <oddFooter>&amp;C&amp;6Page &amp;P of &amp;N&amp;R&amp;8&amp;D</oddFoot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
  <sheetViews>
    <sheetView workbookViewId="0">
      <selection activeCell="A7" sqref="A7"/>
    </sheetView>
  </sheetViews>
  <sheetFormatPr defaultRowHeight="13.2" x14ac:dyDescent="0.25"/>
  <cols>
    <col min="1" max="1" width="37.109375" customWidth="1"/>
    <col min="2" max="2" width="32.33203125" style="19" bestFit="1" customWidth="1"/>
    <col min="3" max="3" width="34.21875" style="19" bestFit="1" customWidth="1"/>
    <col min="4" max="4" width="19" style="239" bestFit="1" customWidth="1"/>
    <col min="5" max="5" width="9.33203125" bestFit="1" customWidth="1"/>
    <col min="6" max="6" width="34.109375" customWidth="1"/>
    <col min="7" max="7" width="9.88671875" bestFit="1" customWidth="1"/>
    <col min="8" max="8" width="8" bestFit="1" customWidth="1"/>
    <col min="9" max="9" width="9.88671875" style="143" customWidth="1"/>
  </cols>
  <sheetData>
    <row r="1" spans="1:9" ht="20.399999999999999" x14ac:dyDescent="0.25">
      <c r="A1" s="48" t="s">
        <v>2760</v>
      </c>
      <c r="B1" s="49" t="s">
        <v>2761</v>
      </c>
      <c r="C1" s="49" t="s">
        <v>2762</v>
      </c>
      <c r="D1" s="48" t="s">
        <v>2763</v>
      </c>
      <c r="E1" s="313" t="s">
        <v>2946</v>
      </c>
      <c r="F1" s="50" t="s">
        <v>2764</v>
      </c>
      <c r="G1" s="51" t="s">
        <v>2765</v>
      </c>
      <c r="H1" s="51" t="s">
        <v>2766</v>
      </c>
      <c r="I1" s="52" t="s">
        <v>2767</v>
      </c>
    </row>
    <row r="2" spans="1:9" ht="40.799999999999997" x14ac:dyDescent="0.25">
      <c r="A2" s="5" t="s">
        <v>2768</v>
      </c>
      <c r="B2" s="64" t="s">
        <v>2769</v>
      </c>
      <c r="C2" s="186" t="s">
        <v>2770</v>
      </c>
      <c r="D2" s="5" t="s">
        <v>2771</v>
      </c>
      <c r="E2" s="2" t="s">
        <v>2947</v>
      </c>
      <c r="F2" s="31" t="s">
        <v>2772</v>
      </c>
      <c r="G2" s="45" t="s">
        <v>2773</v>
      </c>
      <c r="H2" s="45" t="s">
        <v>1149</v>
      </c>
      <c r="I2" s="141">
        <v>6</v>
      </c>
    </row>
    <row r="3" spans="1:9" ht="40.799999999999997" x14ac:dyDescent="0.25">
      <c r="A3" s="5" t="s">
        <v>2774</v>
      </c>
      <c r="B3" s="64" t="s">
        <v>2775</v>
      </c>
      <c r="C3" s="186" t="s">
        <v>2776</v>
      </c>
      <c r="D3" s="5" t="s">
        <v>2777</v>
      </c>
      <c r="E3" s="2" t="s">
        <v>2947</v>
      </c>
      <c r="F3" s="31" t="s">
        <v>2778</v>
      </c>
      <c r="G3" s="45" t="s">
        <v>2779</v>
      </c>
      <c r="H3" s="45" t="s">
        <v>1149</v>
      </c>
      <c r="I3" s="141">
        <v>4</v>
      </c>
    </row>
    <row r="4" spans="1:9" ht="40.799999999999997" x14ac:dyDescent="0.25">
      <c r="A4" s="5" t="s">
        <v>2780</v>
      </c>
      <c r="B4" s="64" t="s">
        <v>2781</v>
      </c>
      <c r="C4" s="186" t="s">
        <v>2782</v>
      </c>
      <c r="D4" s="5" t="s">
        <v>2783</v>
      </c>
      <c r="E4" s="2" t="s">
        <v>2947</v>
      </c>
      <c r="F4" s="31" t="s">
        <v>2784</v>
      </c>
      <c r="G4" s="45" t="s">
        <v>2785</v>
      </c>
      <c r="H4" s="45" t="s">
        <v>1149</v>
      </c>
      <c r="I4" s="141">
        <v>4</v>
      </c>
    </row>
    <row r="5" spans="1:9" ht="32.4" customHeight="1" x14ac:dyDescent="0.25">
      <c r="A5" s="5" t="s">
        <v>2786</v>
      </c>
      <c r="B5" s="64" t="s">
        <v>2787</v>
      </c>
      <c r="C5" s="186" t="s">
        <v>2788</v>
      </c>
      <c r="D5" s="106" t="s">
        <v>2789</v>
      </c>
      <c r="E5" s="2" t="s">
        <v>2947</v>
      </c>
      <c r="F5" s="31" t="s">
        <v>2790</v>
      </c>
      <c r="G5" s="16" t="s">
        <v>2791</v>
      </c>
      <c r="H5" s="45" t="s">
        <v>1149</v>
      </c>
      <c r="I5" s="141">
        <v>1</v>
      </c>
    </row>
    <row r="6" spans="1:9" ht="36" customHeight="1" x14ac:dyDescent="0.25">
      <c r="A6" s="5" t="s">
        <v>2792</v>
      </c>
      <c r="B6" s="64" t="s">
        <v>2793</v>
      </c>
      <c r="C6" s="186" t="s">
        <v>2794</v>
      </c>
      <c r="D6" s="5" t="s">
        <v>2795</v>
      </c>
      <c r="E6" s="2" t="s">
        <v>2947</v>
      </c>
      <c r="F6" s="31" t="s">
        <v>2790</v>
      </c>
      <c r="G6" s="45" t="s">
        <v>2796</v>
      </c>
      <c r="H6" s="45" t="s">
        <v>1149</v>
      </c>
      <c r="I6" s="141">
        <v>4</v>
      </c>
    </row>
    <row r="7" spans="1:9" ht="36" customHeight="1" x14ac:dyDescent="0.25">
      <c r="A7" s="60" t="s">
        <v>2797</v>
      </c>
      <c r="B7" s="64" t="s">
        <v>2798</v>
      </c>
      <c r="C7" s="64" t="s">
        <v>2799</v>
      </c>
      <c r="D7" s="106" t="s">
        <v>2800</v>
      </c>
      <c r="E7" s="324" t="s">
        <v>2948</v>
      </c>
      <c r="F7" s="108" t="s">
        <v>2801</v>
      </c>
      <c r="G7" s="316" t="s">
        <v>2952</v>
      </c>
      <c r="H7" s="45" t="s">
        <v>1149</v>
      </c>
      <c r="I7" s="141">
        <v>1</v>
      </c>
    </row>
    <row r="8" spans="1:9" ht="40.799999999999997" x14ac:dyDescent="0.25">
      <c r="A8" s="5" t="s">
        <v>2802</v>
      </c>
      <c r="B8" s="64" t="s">
        <v>2803</v>
      </c>
      <c r="C8" s="187" t="s">
        <v>2804</v>
      </c>
      <c r="D8" s="5" t="s">
        <v>2805</v>
      </c>
      <c r="E8" s="2" t="s">
        <v>2947</v>
      </c>
      <c r="F8" s="31" t="s">
        <v>2806</v>
      </c>
      <c r="G8" s="45" t="s">
        <v>2807</v>
      </c>
      <c r="H8" s="45" t="s">
        <v>1149</v>
      </c>
      <c r="I8" s="141" t="s">
        <v>2949</v>
      </c>
    </row>
    <row r="9" spans="1:9" ht="40.799999999999997" x14ac:dyDescent="0.25">
      <c r="A9" s="5" t="s">
        <v>2808</v>
      </c>
      <c r="B9" s="64" t="s">
        <v>2809</v>
      </c>
      <c r="C9" s="186" t="s">
        <v>2810</v>
      </c>
      <c r="D9" s="5" t="s">
        <v>2811</v>
      </c>
      <c r="E9" s="2" t="s">
        <v>2947</v>
      </c>
      <c r="F9" s="31" t="s">
        <v>2812</v>
      </c>
      <c r="G9" s="45" t="s">
        <v>2813</v>
      </c>
      <c r="H9" s="45" t="s">
        <v>1149</v>
      </c>
      <c r="I9" s="141">
        <v>1</v>
      </c>
    </row>
    <row r="10" spans="1:9" ht="40.799999999999997" x14ac:dyDescent="0.25">
      <c r="A10" s="5" t="s">
        <v>2814</v>
      </c>
      <c r="B10" s="64" t="s">
        <v>2815</v>
      </c>
      <c r="C10" s="186" t="s">
        <v>2816</v>
      </c>
      <c r="D10" s="5" t="s">
        <v>2817</v>
      </c>
      <c r="E10" s="314"/>
      <c r="F10" s="42" t="s">
        <v>2818</v>
      </c>
      <c r="G10" s="45" t="s">
        <v>2819</v>
      </c>
      <c r="H10" s="45" t="s">
        <v>1149</v>
      </c>
      <c r="I10" s="141" t="s">
        <v>2820</v>
      </c>
    </row>
    <row r="11" spans="1:9" ht="20.399999999999999" x14ac:dyDescent="0.25">
      <c r="A11" s="6" t="s">
        <v>2821</v>
      </c>
      <c r="B11" s="64" t="s">
        <v>2822</v>
      </c>
      <c r="C11" s="186" t="s">
        <v>2823</v>
      </c>
      <c r="D11" s="6" t="s">
        <v>2824</v>
      </c>
      <c r="E11" s="314"/>
      <c r="F11" s="42" t="s">
        <v>2825</v>
      </c>
      <c r="G11" s="46" t="s">
        <v>2826</v>
      </c>
      <c r="H11" s="45" t="s">
        <v>1149</v>
      </c>
      <c r="I11" s="141" t="s">
        <v>2820</v>
      </c>
    </row>
    <row r="12" spans="1:9" ht="20.399999999999999" x14ac:dyDescent="0.25">
      <c r="A12" s="5" t="s">
        <v>2827</v>
      </c>
      <c r="B12" s="64" t="s">
        <v>2828</v>
      </c>
      <c r="C12" s="186" t="s">
        <v>2829</v>
      </c>
      <c r="D12" s="235" t="s">
        <v>2830</v>
      </c>
      <c r="E12" s="314"/>
      <c r="F12" s="42" t="s">
        <v>2825</v>
      </c>
      <c r="G12" s="46" t="s">
        <v>2831</v>
      </c>
      <c r="H12" s="45" t="s">
        <v>1149</v>
      </c>
      <c r="I12" s="141" t="s">
        <v>2820</v>
      </c>
    </row>
    <row r="13" spans="1:9" ht="20.399999999999999" x14ac:dyDescent="0.25">
      <c r="A13" s="5" t="s">
        <v>2832</v>
      </c>
      <c r="B13" s="64" t="s">
        <v>2833</v>
      </c>
      <c r="C13" s="186" t="s">
        <v>2834</v>
      </c>
      <c r="D13" s="236" t="s">
        <v>2835</v>
      </c>
      <c r="E13" s="314"/>
      <c r="F13" s="42" t="s">
        <v>2825</v>
      </c>
      <c r="G13" s="46" t="s">
        <v>2836</v>
      </c>
      <c r="H13" s="45" t="s">
        <v>1149</v>
      </c>
      <c r="I13" s="141" t="s">
        <v>2820</v>
      </c>
    </row>
    <row r="14" spans="1:9" ht="20.399999999999999" x14ac:dyDescent="0.25">
      <c r="A14" s="48" t="s">
        <v>2837</v>
      </c>
      <c r="B14" s="49" t="s">
        <v>2761</v>
      </c>
      <c r="C14" s="49" t="s">
        <v>2762</v>
      </c>
      <c r="D14" s="48" t="s">
        <v>2763</v>
      </c>
      <c r="E14" s="313"/>
      <c r="F14" s="50" t="s">
        <v>2764</v>
      </c>
      <c r="G14" s="51" t="s">
        <v>2765</v>
      </c>
      <c r="H14" s="51" t="s">
        <v>2766</v>
      </c>
      <c r="I14" s="52" t="s">
        <v>2838</v>
      </c>
    </row>
    <row r="15" spans="1:9" ht="40.799999999999997" x14ac:dyDescent="0.25">
      <c r="A15" s="5" t="s">
        <v>12</v>
      </c>
      <c r="B15" s="64" t="s">
        <v>2839</v>
      </c>
      <c r="C15" s="186" t="s">
        <v>2840</v>
      </c>
      <c r="D15" s="5" t="s">
        <v>2841</v>
      </c>
      <c r="E15" s="2" t="s">
        <v>2947</v>
      </c>
      <c r="F15" s="42" t="s">
        <v>2842</v>
      </c>
      <c r="G15" s="68" t="s">
        <v>2843</v>
      </c>
      <c r="H15" s="82" t="s">
        <v>2844</v>
      </c>
      <c r="I15" s="142" t="s">
        <v>2845</v>
      </c>
    </row>
    <row r="16" spans="1:9" ht="40.799999999999997" x14ac:dyDescent="0.25">
      <c r="A16" s="5" t="s">
        <v>39</v>
      </c>
      <c r="B16" s="64" t="s">
        <v>2846</v>
      </c>
      <c r="C16" s="186" t="s">
        <v>2847</v>
      </c>
      <c r="D16" s="5" t="s">
        <v>2848</v>
      </c>
      <c r="E16" s="2" t="s">
        <v>2947</v>
      </c>
      <c r="F16" s="42" t="s">
        <v>2849</v>
      </c>
      <c r="G16" s="3" t="s">
        <v>2850</v>
      </c>
      <c r="H16" s="4" t="s">
        <v>2851</v>
      </c>
      <c r="I16" s="21" t="s">
        <v>2852</v>
      </c>
    </row>
    <row r="17" spans="1:12" ht="40.799999999999997" x14ac:dyDescent="0.25">
      <c r="A17" s="5" t="s">
        <v>43</v>
      </c>
      <c r="B17" s="64" t="s">
        <v>2853</v>
      </c>
      <c r="C17" s="186" t="s">
        <v>2854</v>
      </c>
      <c r="D17" s="5" t="s">
        <v>2855</v>
      </c>
      <c r="E17" s="2" t="s">
        <v>2947</v>
      </c>
      <c r="F17" s="31" t="s">
        <v>2856</v>
      </c>
      <c r="G17" s="3" t="s">
        <v>2857</v>
      </c>
      <c r="H17" s="3"/>
      <c r="I17" s="21" t="s">
        <v>2852</v>
      </c>
    </row>
    <row r="18" spans="1:12" ht="30" customHeight="1" x14ac:dyDescent="0.25">
      <c r="A18" s="232" t="s">
        <v>2858</v>
      </c>
      <c r="B18" s="233" t="s">
        <v>2859</v>
      </c>
      <c r="C18" s="233" t="s">
        <v>2860</v>
      </c>
      <c r="D18" s="237" t="s">
        <v>2861</v>
      </c>
      <c r="E18" s="2" t="s">
        <v>2947</v>
      </c>
      <c r="F18" s="31" t="s">
        <v>2951</v>
      </c>
      <c r="G18" s="229" t="s">
        <v>2863</v>
      </c>
      <c r="H18" s="229" t="s">
        <v>2864</v>
      </c>
      <c r="I18" s="21" t="s">
        <v>2852</v>
      </c>
    </row>
    <row r="19" spans="1:12" ht="30" customHeight="1" x14ac:dyDescent="0.25">
      <c r="A19" s="118" t="s">
        <v>2865</v>
      </c>
      <c r="B19" s="233" t="s">
        <v>2866</v>
      </c>
      <c r="C19" s="234" t="s">
        <v>2867</v>
      </c>
      <c r="D19" s="237" t="s">
        <v>2950</v>
      </c>
      <c r="E19" s="324" t="s">
        <v>2948</v>
      </c>
      <c r="F19" s="31" t="s">
        <v>2862</v>
      </c>
      <c r="G19" s="241" t="s">
        <v>2868</v>
      </c>
      <c r="H19" s="241" t="s">
        <v>2869</v>
      </c>
      <c r="I19" s="21" t="s">
        <v>2852</v>
      </c>
    </row>
    <row r="20" spans="1:12" ht="40.799999999999997" x14ac:dyDescent="0.25">
      <c r="A20" s="5" t="s">
        <v>2870</v>
      </c>
      <c r="B20" s="64" t="s">
        <v>2871</v>
      </c>
      <c r="C20" s="186" t="s">
        <v>2872</v>
      </c>
      <c r="D20" s="238" t="s">
        <v>2873</v>
      </c>
      <c r="E20" s="315"/>
      <c r="F20" s="31" t="s">
        <v>2874</v>
      </c>
      <c r="G20" s="3" t="s">
        <v>2875</v>
      </c>
      <c r="H20" s="3"/>
      <c r="I20" s="21" t="s">
        <v>2820</v>
      </c>
    </row>
    <row r="21" spans="1:12" x14ac:dyDescent="0.25">
      <c r="G21" s="66"/>
      <c r="H21" s="67"/>
      <c r="I21" s="91"/>
    </row>
    <row r="25" spans="1:12" x14ac:dyDescent="0.25">
      <c r="A25" s="18"/>
      <c r="B25" s="18"/>
      <c r="C25" s="18"/>
      <c r="D25" s="18"/>
      <c r="E25" s="19"/>
      <c r="F25" s="20"/>
      <c r="G25" s="20"/>
      <c r="H25" s="20"/>
      <c r="I25" s="28"/>
      <c r="J25" s="28"/>
      <c r="K25" s="28"/>
      <c r="L25" s="40"/>
    </row>
  </sheetData>
  <hyperlinks>
    <hyperlink ref="B2" r:id="rId1" xr:uid="{00000000-0004-0000-0100-000000000000}"/>
    <hyperlink ref="B4" r:id="rId2" xr:uid="{00000000-0004-0000-0100-000001000000}"/>
    <hyperlink ref="B3" r:id="rId3" xr:uid="{00000000-0004-0000-0100-000002000000}"/>
    <hyperlink ref="B6" r:id="rId4" xr:uid="{00000000-0004-0000-0100-000003000000}"/>
    <hyperlink ref="B8" r:id="rId5" xr:uid="{00000000-0004-0000-0100-000004000000}"/>
    <hyperlink ref="B9" r:id="rId6" xr:uid="{00000000-0004-0000-0100-000005000000}"/>
    <hyperlink ref="B10" r:id="rId7" xr:uid="{00000000-0004-0000-0100-000006000000}"/>
    <hyperlink ref="B15" r:id="rId8" xr:uid="{00000000-0004-0000-0100-000007000000}"/>
    <hyperlink ref="B16" r:id="rId9" xr:uid="{00000000-0004-0000-0100-000008000000}"/>
    <hyperlink ref="B17" r:id="rId10" xr:uid="{00000000-0004-0000-0100-000009000000}"/>
    <hyperlink ref="B20" r:id="rId11" xr:uid="{00000000-0004-0000-0100-00000A000000}"/>
    <hyperlink ref="B11" r:id="rId12" xr:uid="{00000000-0004-0000-0100-00000B000000}"/>
    <hyperlink ref="B12" r:id="rId13" xr:uid="{00000000-0004-0000-0100-00000C000000}"/>
    <hyperlink ref="B13" r:id="rId14" xr:uid="{00000000-0004-0000-0100-00000D000000}"/>
    <hyperlink ref="B5" r:id="rId15" xr:uid="{00000000-0004-0000-0100-00000E000000}"/>
    <hyperlink ref="B18" r:id="rId16" display="https://eur01.safelinks.protection.outlook.com/?url=https%3A%2F%2Fwww.lyellcollection.org%2Fbook%2Fegc&amp;data=05%7C01%7Cdawn.angel%40geolsoc.org.uk%7C16f6fb23bb5e497a0a1208db62be8aa5%7C8793af0570194bd4bcbe1895301e92f9%7C0%7C0%7C638212342722346311%7CUnknown%7CTWFpbGZsb3d8eyJWIjoiMC4wLjAwMDAiLCJQIjoiV2luMzIiLCJBTiI6Ik1haWwiLCJXVCI6Mn0%3D%7C3000%7C%7C%7C&amp;sdata=iQlMbOKztEzR9L%2B9hj%2B3kla6tdLZsKeDapua%2FjEj%2FDs%3D&amp;reserved=0" xr:uid="{320A1E2F-32FC-431B-8BBD-9B78E3FF785C}"/>
    <hyperlink ref="C4" r:id="rId17" xr:uid="{6939EE73-2EEC-4DF8-8937-B783246531A5}"/>
    <hyperlink ref="C5" r:id="rId18" xr:uid="{A4D3835F-CA34-46CA-B2E0-0913EFBCFFAC}"/>
    <hyperlink ref="C6" r:id="rId19" xr:uid="{D1CE1896-B6E7-478E-A144-D58FA75779B3}"/>
    <hyperlink ref="C9" r:id="rId20" xr:uid="{665B0491-6708-476C-B1B5-20D0C18A28F1}"/>
    <hyperlink ref="C10" r:id="rId21" xr:uid="{4518DC11-65D4-4F2B-861A-BB0D305B85DF}"/>
    <hyperlink ref="C11" r:id="rId22" xr:uid="{D5091D89-566F-4DA5-90D6-B2EA622726BC}"/>
    <hyperlink ref="C12" r:id="rId23" xr:uid="{494D0274-A731-45DA-9EAD-A2B190273A3F}"/>
    <hyperlink ref="C2" r:id="rId24" xr:uid="{62038B6B-2CE2-4246-A5A4-C94D4AF28BC8}"/>
    <hyperlink ref="C13" r:id="rId25" xr:uid="{96489E27-8C32-4916-A9FD-DFA24D85DD47}"/>
    <hyperlink ref="C15" r:id="rId26" xr:uid="{056294F5-F1E4-40E3-AF86-A02F1BDC265C}"/>
    <hyperlink ref="C16" r:id="rId27" xr:uid="{4D632065-C373-4A21-BFC4-CC38349294EE}"/>
    <hyperlink ref="C17" r:id="rId28" xr:uid="{32AC35C4-34E4-4415-A9C9-735C0EDC1ADD}"/>
    <hyperlink ref="C20" r:id="rId29" xr:uid="{08A9BA02-4F63-413C-A085-7B488A5779A3}"/>
    <hyperlink ref="C8" r:id="rId30" xr:uid="{19F6124D-9ABB-427D-A269-977164144F72}"/>
    <hyperlink ref="C18" r:id="rId31" xr:uid="{BC87822D-3108-44FF-BE8A-9C78A257736A}"/>
    <hyperlink ref="C7" r:id="rId32" xr:uid="{A8791616-DDED-40A0-81C3-F24209643988}"/>
    <hyperlink ref="B19" r:id="rId33" xr:uid="{A3201B07-6EC7-4091-9618-AE948ACF4E2A}"/>
  </hyperlinks>
  <pageMargins left="0.7" right="0.7" top="0.75" bottom="0.75" header="0.3" footer="0.3"/>
  <pageSetup paperSize="9" orientation="portrait" verticalDpi="0" r:id="rId3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20FB5-DB3E-40C0-B099-8FF66B93079A}">
  <sheetPr>
    <pageSetUpPr fitToPage="1"/>
  </sheetPr>
  <dimension ref="A1:AH45"/>
  <sheetViews>
    <sheetView workbookViewId="0">
      <pane ySplit="1" topLeftCell="A2" activePane="bottomLeft" state="frozen"/>
      <selection activeCell="C1" sqref="C1"/>
      <selection pane="bottomLeft" activeCell="E25" sqref="E25"/>
    </sheetView>
  </sheetViews>
  <sheetFormatPr defaultColWidth="9.109375" defaultRowHeight="13.2" x14ac:dyDescent="0.25"/>
  <cols>
    <col min="1" max="1" width="43.109375" style="150" customWidth="1"/>
    <col min="2" max="2" width="8.5546875" style="26" customWidth="1"/>
    <col min="3" max="3" width="14.88671875" style="58" bestFit="1" customWidth="1"/>
    <col min="4" max="4" width="4.88671875" style="26" customWidth="1"/>
    <col min="5" max="5" width="26.6640625" style="70" customWidth="1"/>
    <col min="6" max="6" width="6.5546875" style="103" bestFit="1" customWidth="1"/>
    <col min="7" max="7" width="7.88671875" style="103" customWidth="1"/>
    <col min="8" max="8" width="30.6640625" style="17" customWidth="1"/>
    <col min="9" max="9" width="14.88671875" style="17" customWidth="1"/>
    <col min="10" max="10" width="29.88671875" style="73" bestFit="1" customWidth="1"/>
    <col min="11" max="11" width="10.33203125" style="149" customWidth="1"/>
    <col min="12" max="12" width="9.109375" customWidth="1"/>
    <col min="17" max="16384" width="9.109375" style="24"/>
  </cols>
  <sheetData>
    <row r="1" spans="1:34" x14ac:dyDescent="0.25">
      <c r="A1" s="176" t="s">
        <v>2876</v>
      </c>
      <c r="B1" s="26" t="s">
        <v>2877</v>
      </c>
    </row>
    <row r="2" spans="1:34" x14ac:dyDescent="0.25">
      <c r="A2" s="176" t="s">
        <v>2878</v>
      </c>
      <c r="B2" s="26" t="s">
        <v>2879</v>
      </c>
    </row>
    <row r="3" spans="1:34" x14ac:dyDescent="0.25">
      <c r="A3" s="176" t="s">
        <v>2880</v>
      </c>
      <c r="B3" s="26" t="s">
        <v>2881</v>
      </c>
    </row>
    <row r="4" spans="1:34" ht="13.8" thickBot="1" x14ac:dyDescent="0.3">
      <c r="H4" s="17" t="s">
        <v>2882</v>
      </c>
    </row>
    <row r="5" spans="1:34" ht="13.8" thickBot="1" x14ac:dyDescent="0.3">
      <c r="A5" s="171" t="s">
        <v>2883</v>
      </c>
      <c r="B5" s="172"/>
      <c r="C5" s="173"/>
      <c r="D5" s="172"/>
      <c r="E5" s="161" t="s">
        <v>2884</v>
      </c>
      <c r="F5" s="174"/>
      <c r="G5" s="162"/>
      <c r="H5" s="179"/>
      <c r="I5" s="179"/>
      <c r="J5" s="181" t="s">
        <v>2885</v>
      </c>
      <c r="K5" s="182"/>
    </row>
    <row r="6" spans="1:34" ht="51" x14ac:dyDescent="0.25">
      <c r="A6" s="168" t="s">
        <v>2</v>
      </c>
      <c r="B6" s="168" t="s">
        <v>2886</v>
      </c>
      <c r="C6" s="169" t="s">
        <v>1</v>
      </c>
      <c r="D6" s="170" t="s">
        <v>3</v>
      </c>
      <c r="E6" s="163" t="s">
        <v>2887</v>
      </c>
      <c r="F6" s="156" t="s">
        <v>9</v>
      </c>
      <c r="G6" s="304" t="s">
        <v>2888</v>
      </c>
      <c r="H6" s="311" t="s">
        <v>2889</v>
      </c>
      <c r="I6" s="312" t="s">
        <v>2890</v>
      </c>
      <c r="J6" s="305" t="s">
        <v>2891</v>
      </c>
      <c r="K6" s="183" t="s">
        <v>2892</v>
      </c>
    </row>
    <row r="7" spans="1:34" s="81" customFormat="1" ht="20.399999999999999" x14ac:dyDescent="0.2">
      <c r="A7" s="106" t="s">
        <v>921</v>
      </c>
      <c r="B7" s="111" t="s">
        <v>920</v>
      </c>
      <c r="C7" s="107" t="s">
        <v>43</v>
      </c>
      <c r="D7" s="158">
        <v>2009</v>
      </c>
      <c r="E7" s="164" t="s">
        <v>2921</v>
      </c>
      <c r="F7" s="102">
        <v>95</v>
      </c>
      <c r="G7" s="306">
        <v>47.5</v>
      </c>
      <c r="H7" s="196" t="s">
        <v>2939</v>
      </c>
      <c r="I7" s="197">
        <v>200</v>
      </c>
      <c r="J7" s="308" t="s">
        <v>2893</v>
      </c>
      <c r="K7" s="175">
        <v>190</v>
      </c>
      <c r="Q7" s="24"/>
      <c r="R7" s="24"/>
      <c r="S7" s="24"/>
      <c r="T7" s="24"/>
      <c r="U7" s="24"/>
      <c r="V7" s="24"/>
      <c r="W7" s="24"/>
      <c r="X7" s="24"/>
      <c r="Y7" s="24"/>
      <c r="Z7" s="24"/>
      <c r="AA7" s="24"/>
      <c r="AB7" s="24"/>
      <c r="AC7" s="24"/>
      <c r="AD7" s="24"/>
      <c r="AE7" s="24"/>
      <c r="AF7" s="24"/>
      <c r="AG7" s="24"/>
      <c r="AH7" s="24"/>
    </row>
    <row r="8" spans="1:34" ht="20.399999999999999" x14ac:dyDescent="0.25">
      <c r="A8" s="106" t="s">
        <v>845</v>
      </c>
      <c r="B8" s="111" t="s">
        <v>844</v>
      </c>
      <c r="C8" s="107" t="s">
        <v>43</v>
      </c>
      <c r="D8" s="158">
        <v>2010</v>
      </c>
      <c r="E8" s="164" t="s">
        <v>2922</v>
      </c>
      <c r="F8" s="102">
        <v>80</v>
      </c>
      <c r="G8" s="306">
        <v>40</v>
      </c>
      <c r="H8" s="196" t="s">
        <v>2940</v>
      </c>
      <c r="I8" s="197">
        <v>200</v>
      </c>
      <c r="J8" s="308" t="s">
        <v>2893</v>
      </c>
      <c r="K8" s="175">
        <v>160</v>
      </c>
    </row>
    <row r="9" spans="1:34" ht="20.399999999999999" x14ac:dyDescent="0.25">
      <c r="A9" s="116" t="s">
        <v>512</v>
      </c>
      <c r="B9" s="106" t="s">
        <v>511</v>
      </c>
      <c r="C9" s="107" t="s">
        <v>43</v>
      </c>
      <c r="D9" s="159">
        <v>2016</v>
      </c>
      <c r="E9" s="164" t="s">
        <v>2923</v>
      </c>
      <c r="F9" s="102">
        <v>90</v>
      </c>
      <c r="G9" s="306">
        <v>45</v>
      </c>
      <c r="H9" s="196" t="s">
        <v>2941</v>
      </c>
      <c r="I9" s="197">
        <v>200</v>
      </c>
      <c r="J9" s="308" t="s">
        <v>2893</v>
      </c>
      <c r="K9" s="175">
        <v>180</v>
      </c>
    </row>
    <row r="10" spans="1:34" s="41" customFormat="1" ht="20.399999999999999" x14ac:dyDescent="0.2">
      <c r="A10" s="116" t="s">
        <v>431</v>
      </c>
      <c r="B10" s="106" t="s">
        <v>430</v>
      </c>
      <c r="C10" s="107" t="s">
        <v>43</v>
      </c>
      <c r="D10" s="159">
        <v>2017</v>
      </c>
      <c r="E10" s="164" t="s">
        <v>2924</v>
      </c>
      <c r="F10" s="102">
        <v>120</v>
      </c>
      <c r="G10" s="306">
        <v>60</v>
      </c>
      <c r="H10" s="196" t="s">
        <v>2942</v>
      </c>
      <c r="I10" s="197">
        <v>200</v>
      </c>
      <c r="J10" s="308" t="s">
        <v>2893</v>
      </c>
      <c r="K10" s="175">
        <v>240</v>
      </c>
    </row>
    <row r="11" spans="1:34" s="41" customFormat="1" ht="20.399999999999999" x14ac:dyDescent="0.2">
      <c r="A11" s="108" t="s">
        <v>269</v>
      </c>
      <c r="B11" s="106" t="s">
        <v>268</v>
      </c>
      <c r="C11" s="107" t="s">
        <v>43</v>
      </c>
      <c r="D11" s="159">
        <v>2020</v>
      </c>
      <c r="E11" s="164" t="s">
        <v>2925</v>
      </c>
      <c r="F11" s="102">
        <v>140</v>
      </c>
      <c r="G11" s="306">
        <v>70</v>
      </c>
      <c r="H11" s="198" t="s">
        <v>2943</v>
      </c>
      <c r="I11" s="199">
        <v>200</v>
      </c>
      <c r="J11" s="308" t="s">
        <v>2893</v>
      </c>
      <c r="K11" s="175">
        <v>280</v>
      </c>
    </row>
    <row r="12" spans="1:34" s="41" customFormat="1" ht="20.399999999999999" x14ac:dyDescent="0.2">
      <c r="A12" s="106" t="s">
        <v>829</v>
      </c>
      <c r="B12" s="111" t="s">
        <v>828</v>
      </c>
      <c r="C12" s="113" t="s">
        <v>39</v>
      </c>
      <c r="D12" s="158">
        <v>2011</v>
      </c>
      <c r="E12" s="164" t="s">
        <v>2926</v>
      </c>
      <c r="F12" s="102">
        <v>180</v>
      </c>
      <c r="G12" s="306">
        <v>90</v>
      </c>
      <c r="H12" s="200" t="s">
        <v>2944</v>
      </c>
      <c r="I12" s="201">
        <v>200</v>
      </c>
      <c r="J12" s="309" t="s">
        <v>2893</v>
      </c>
      <c r="K12" s="175">
        <v>360</v>
      </c>
    </row>
    <row r="13" spans="1:34" s="139" customFormat="1" ht="20.399999999999999" x14ac:dyDescent="0.25">
      <c r="A13" s="108" t="s">
        <v>242</v>
      </c>
      <c r="B13" s="106" t="s">
        <v>241</v>
      </c>
      <c r="C13" s="107" t="s">
        <v>12</v>
      </c>
      <c r="D13" s="159">
        <v>2021</v>
      </c>
      <c r="E13" s="164" t="s">
        <v>2927</v>
      </c>
      <c r="F13" s="102">
        <v>95</v>
      </c>
      <c r="G13" s="306">
        <v>47.5</v>
      </c>
      <c r="H13" s="202" t="s">
        <v>2945</v>
      </c>
      <c r="I13" s="197">
        <v>200</v>
      </c>
      <c r="J13" s="308" t="s">
        <v>2893</v>
      </c>
      <c r="K13" s="175">
        <v>190</v>
      </c>
    </row>
    <row r="14" spans="1:34" ht="20.399999999999999" x14ac:dyDescent="0.2">
      <c r="A14" s="106" t="s">
        <v>996</v>
      </c>
      <c r="B14" s="106" t="s">
        <v>995</v>
      </c>
      <c r="C14" s="106" t="s">
        <v>88</v>
      </c>
      <c r="D14" s="158">
        <v>2008</v>
      </c>
      <c r="E14" s="164" t="s">
        <v>2928</v>
      </c>
      <c r="F14" s="102">
        <v>45</v>
      </c>
      <c r="G14" s="306">
        <v>32.5</v>
      </c>
      <c r="H14" s="203" t="s">
        <v>2894</v>
      </c>
      <c r="I14" s="204" t="s">
        <v>2895</v>
      </c>
      <c r="J14" s="309" t="s">
        <v>2893</v>
      </c>
      <c r="K14" s="175">
        <v>90</v>
      </c>
      <c r="L14" s="41"/>
      <c r="M14" s="41"/>
      <c r="N14" s="41"/>
      <c r="O14" s="41"/>
      <c r="P14" s="41"/>
      <c r="Q14" s="41"/>
      <c r="R14" s="41"/>
      <c r="S14" s="41"/>
      <c r="T14" s="41"/>
      <c r="U14" s="41"/>
      <c r="V14" s="41"/>
      <c r="W14" s="41"/>
      <c r="X14" s="41"/>
      <c r="Y14" s="41"/>
      <c r="Z14" s="41"/>
      <c r="AA14" s="41"/>
      <c r="AB14" s="41"/>
      <c r="AC14" s="41"/>
      <c r="AD14" s="41"/>
      <c r="AE14" s="41"/>
      <c r="AF14" s="41"/>
      <c r="AG14" s="41"/>
      <c r="AH14" s="41"/>
    </row>
    <row r="15" spans="1:34" s="41" customFormat="1" ht="20.399999999999999" x14ac:dyDescent="0.2">
      <c r="A15" s="106" t="s">
        <v>988</v>
      </c>
      <c r="B15" s="106" t="s">
        <v>987</v>
      </c>
      <c r="C15" s="106" t="s">
        <v>88</v>
      </c>
      <c r="D15" s="158">
        <v>2008</v>
      </c>
      <c r="E15" s="164" t="s">
        <v>2929</v>
      </c>
      <c r="F15" s="102">
        <v>45</v>
      </c>
      <c r="G15" s="306">
        <v>32.5</v>
      </c>
      <c r="H15" s="203" t="s">
        <v>2894</v>
      </c>
      <c r="I15" s="204" t="s">
        <v>2895</v>
      </c>
      <c r="J15" s="309" t="s">
        <v>2893</v>
      </c>
      <c r="K15" s="175">
        <v>90</v>
      </c>
    </row>
    <row r="16" spans="1:34" s="41" customFormat="1" ht="10.199999999999999" x14ac:dyDescent="0.2">
      <c r="A16" s="116" t="s">
        <v>1166</v>
      </c>
      <c r="B16" s="111" t="s">
        <v>1165</v>
      </c>
      <c r="C16" s="106" t="s">
        <v>88</v>
      </c>
      <c r="D16" s="158">
        <v>2006</v>
      </c>
      <c r="E16" s="164" t="s">
        <v>2930</v>
      </c>
      <c r="F16" s="102">
        <v>35</v>
      </c>
      <c r="G16" s="306">
        <v>27.5</v>
      </c>
      <c r="H16" s="203" t="s">
        <v>2894</v>
      </c>
      <c r="I16" s="204" t="s">
        <v>2895</v>
      </c>
      <c r="J16" s="309" t="s">
        <v>2893</v>
      </c>
      <c r="K16" s="175">
        <v>70</v>
      </c>
    </row>
    <row r="17" spans="1:34" x14ac:dyDescent="0.25">
      <c r="A17" s="106" t="s">
        <v>506</v>
      </c>
      <c r="B17" s="111" t="s">
        <v>505</v>
      </c>
      <c r="C17" s="106" t="s">
        <v>88</v>
      </c>
      <c r="D17" s="159">
        <v>2016</v>
      </c>
      <c r="E17" s="164" t="s">
        <v>2931</v>
      </c>
      <c r="F17" s="102">
        <v>50</v>
      </c>
      <c r="G17" s="306">
        <v>37.5</v>
      </c>
      <c r="H17" s="203" t="s">
        <v>2894</v>
      </c>
      <c r="I17" s="204" t="s">
        <v>2895</v>
      </c>
      <c r="J17" s="308" t="s">
        <v>2893</v>
      </c>
      <c r="K17" s="175">
        <v>100</v>
      </c>
    </row>
    <row r="18" spans="1:34" s="41" customFormat="1" ht="10.199999999999999" x14ac:dyDescent="0.2">
      <c r="A18" s="106" t="s">
        <v>784</v>
      </c>
      <c r="B18" s="111" t="s">
        <v>783</v>
      </c>
      <c r="C18" s="106" t="s">
        <v>88</v>
      </c>
      <c r="D18" s="158">
        <v>2011</v>
      </c>
      <c r="E18" s="164" t="s">
        <v>2932</v>
      </c>
      <c r="F18" s="102">
        <v>50</v>
      </c>
      <c r="G18" s="306">
        <v>37.5</v>
      </c>
      <c r="H18" s="203" t="s">
        <v>2894</v>
      </c>
      <c r="I18" s="204" t="s">
        <v>2895</v>
      </c>
      <c r="J18" s="309" t="s">
        <v>2893</v>
      </c>
      <c r="K18" s="175">
        <v>100</v>
      </c>
    </row>
    <row r="19" spans="1:34" s="41" customFormat="1" ht="10.199999999999999" x14ac:dyDescent="0.2">
      <c r="A19" s="116" t="s">
        <v>1070</v>
      </c>
      <c r="B19" s="111" t="s">
        <v>1069</v>
      </c>
      <c r="C19" s="106" t="s">
        <v>88</v>
      </c>
      <c r="D19" s="158">
        <v>2007</v>
      </c>
      <c r="E19" s="164" t="s">
        <v>2933</v>
      </c>
      <c r="F19" s="102">
        <v>35</v>
      </c>
      <c r="G19" s="306">
        <v>27.5</v>
      </c>
      <c r="H19" s="203" t="s">
        <v>2894</v>
      </c>
      <c r="I19" s="204" t="s">
        <v>2895</v>
      </c>
      <c r="J19" s="309" t="s">
        <v>2893</v>
      </c>
      <c r="K19" s="175">
        <v>70</v>
      </c>
    </row>
    <row r="20" spans="1:34" s="41" customFormat="1" ht="10.199999999999999" x14ac:dyDescent="0.2">
      <c r="A20" s="116" t="s">
        <v>1517</v>
      </c>
      <c r="B20" s="111" t="s">
        <v>1516</v>
      </c>
      <c r="C20" s="106" t="s">
        <v>88</v>
      </c>
      <c r="D20" s="158">
        <v>2002</v>
      </c>
      <c r="E20" s="164" t="s">
        <v>2934</v>
      </c>
      <c r="F20" s="102">
        <v>35</v>
      </c>
      <c r="G20" s="306">
        <v>27.5</v>
      </c>
      <c r="H20" s="203" t="s">
        <v>2894</v>
      </c>
      <c r="I20" s="204" t="s">
        <v>2895</v>
      </c>
      <c r="J20" s="309" t="s">
        <v>2893</v>
      </c>
      <c r="K20" s="175">
        <v>70</v>
      </c>
    </row>
    <row r="21" spans="1:34" s="41" customFormat="1" ht="10.199999999999999" x14ac:dyDescent="0.2">
      <c r="A21" s="116" t="s">
        <v>221</v>
      </c>
      <c r="B21" s="111" t="s">
        <v>219</v>
      </c>
      <c r="C21" s="116" t="s">
        <v>220</v>
      </c>
      <c r="D21" s="159">
        <v>2021</v>
      </c>
      <c r="E21" s="164" t="s">
        <v>2935</v>
      </c>
      <c r="F21" s="102">
        <v>80</v>
      </c>
      <c r="G21" s="306">
        <v>40</v>
      </c>
      <c r="H21" s="203" t="s">
        <v>2894</v>
      </c>
      <c r="I21" s="204" t="s">
        <v>2895</v>
      </c>
      <c r="J21" s="309" t="s">
        <v>2893</v>
      </c>
      <c r="K21" s="175">
        <v>160</v>
      </c>
    </row>
    <row r="22" spans="1:34" s="41" customFormat="1" ht="20.399999999999999" x14ac:dyDescent="0.2">
      <c r="A22" s="106" t="s">
        <v>2896</v>
      </c>
      <c r="B22" s="111" t="s">
        <v>735</v>
      </c>
      <c r="C22" s="116" t="s">
        <v>220</v>
      </c>
      <c r="D22" s="158">
        <v>2012</v>
      </c>
      <c r="E22" s="164" t="s">
        <v>2936</v>
      </c>
      <c r="F22" s="102">
        <v>40</v>
      </c>
      <c r="G22" s="306">
        <v>20</v>
      </c>
      <c r="H22" s="203" t="s">
        <v>2894</v>
      </c>
      <c r="I22" s="204" t="s">
        <v>2895</v>
      </c>
      <c r="J22" s="309" t="s">
        <v>2893</v>
      </c>
      <c r="K22" s="175">
        <v>150</v>
      </c>
    </row>
    <row r="23" spans="1:34" s="41" customFormat="1" ht="20.399999999999999" x14ac:dyDescent="0.2">
      <c r="A23" s="122" t="s">
        <v>503</v>
      </c>
      <c r="B23" s="121" t="s">
        <v>502</v>
      </c>
      <c r="C23" s="122" t="s">
        <v>76</v>
      </c>
      <c r="D23" s="160">
        <v>2016</v>
      </c>
      <c r="E23" s="164" t="s">
        <v>2937</v>
      </c>
      <c r="F23" s="102">
        <v>120</v>
      </c>
      <c r="G23" s="306">
        <v>60</v>
      </c>
      <c r="H23" s="203" t="s">
        <v>2894</v>
      </c>
      <c r="I23" s="204" t="s">
        <v>2895</v>
      </c>
      <c r="J23" s="308" t="s">
        <v>2893</v>
      </c>
      <c r="K23" s="175">
        <v>240</v>
      </c>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row>
    <row r="24" spans="1:34" s="41" customFormat="1" ht="14.4" customHeight="1" thickBot="1" x14ac:dyDescent="0.25">
      <c r="A24" s="106" t="s">
        <v>183</v>
      </c>
      <c r="B24" s="111" t="s">
        <v>181</v>
      </c>
      <c r="C24" s="107" t="s">
        <v>182</v>
      </c>
      <c r="D24" s="158">
        <v>2022</v>
      </c>
      <c r="E24" s="193" t="s">
        <v>2938</v>
      </c>
      <c r="F24" s="194">
        <v>45</v>
      </c>
      <c r="G24" s="307">
        <v>22.5</v>
      </c>
      <c r="H24" s="205" t="s">
        <v>2894</v>
      </c>
      <c r="I24" s="206" t="s">
        <v>2895</v>
      </c>
      <c r="J24" s="310" t="s">
        <v>2893</v>
      </c>
      <c r="K24" s="195">
        <v>90</v>
      </c>
    </row>
    <row r="25" spans="1:34" ht="13.8" thickBot="1" x14ac:dyDescent="0.3"/>
    <row r="26" spans="1:34" x14ac:dyDescent="0.25">
      <c r="A26" s="190" t="s">
        <v>2897</v>
      </c>
      <c r="E26" s="178"/>
      <c r="F26" s="165" t="s">
        <v>2898</v>
      </c>
      <c r="G26" s="212"/>
      <c r="H26" s="208"/>
    </row>
    <row r="27" spans="1:34" ht="30.6" x14ac:dyDescent="0.25">
      <c r="A27" s="189" t="s">
        <v>2</v>
      </c>
      <c r="B27" s="189" t="s">
        <v>2886</v>
      </c>
      <c r="C27" s="188" t="s">
        <v>1</v>
      </c>
      <c r="D27" s="218" t="s">
        <v>3</v>
      </c>
      <c r="E27" s="209" t="s">
        <v>2899</v>
      </c>
      <c r="F27" s="222"/>
      <c r="G27" s="213"/>
      <c r="H27" s="210" t="s">
        <v>2900</v>
      </c>
      <c r="K27" s="151"/>
    </row>
    <row r="28" spans="1:34" s="139" customFormat="1" ht="20.399999999999999" x14ac:dyDescent="0.25">
      <c r="A28" s="108" t="s">
        <v>242</v>
      </c>
      <c r="B28" s="106" t="s">
        <v>241</v>
      </c>
      <c r="C28" s="107" t="s">
        <v>12</v>
      </c>
      <c r="D28" s="157">
        <v>2021</v>
      </c>
      <c r="E28" s="166" t="str">
        <f>HYPERLINK("https://www.lyellcollection.org/toc/sp/506/1")</f>
        <v>https://www.lyellcollection.org/toc/sp/506/1</v>
      </c>
      <c r="F28" s="220"/>
      <c r="G28" s="214"/>
      <c r="H28" s="184" t="str">
        <f>HYPERLINK("https://www.lyellcollection.org/toc/sp/506/1")</f>
        <v>https://www.lyellcollection.org/toc/sp/506/1</v>
      </c>
      <c r="K28" s="153"/>
    </row>
    <row r="29" spans="1:34" s="81" customFormat="1" ht="19.2" x14ac:dyDescent="0.2">
      <c r="A29" s="106" t="s">
        <v>921</v>
      </c>
      <c r="B29" s="111" t="s">
        <v>920</v>
      </c>
      <c r="C29" s="107" t="s">
        <v>43</v>
      </c>
      <c r="D29" s="158">
        <v>2009</v>
      </c>
      <c r="E29" s="167" t="str">
        <f>HYPERLINK("https://www.lyellcollection.org/toc/egsp/22/1")</f>
        <v>https://www.lyellcollection.org/toc/egsp/22/1</v>
      </c>
      <c r="F29" s="221"/>
      <c r="G29" s="215"/>
      <c r="H29" s="185"/>
      <c r="K29" s="153"/>
      <c r="Q29" s="24"/>
      <c r="R29" s="24"/>
      <c r="S29" s="24"/>
      <c r="T29" s="24"/>
      <c r="U29" s="24"/>
      <c r="V29" s="24"/>
      <c r="W29" s="24"/>
      <c r="X29" s="24"/>
      <c r="Y29" s="24"/>
      <c r="Z29" s="24"/>
      <c r="AA29" s="24"/>
      <c r="AB29" s="24"/>
      <c r="AC29" s="24"/>
      <c r="AD29" s="24"/>
      <c r="AE29" s="24"/>
      <c r="AF29" s="24"/>
      <c r="AG29" s="24"/>
      <c r="AH29" s="24"/>
    </row>
    <row r="30" spans="1:34" ht="19.2" x14ac:dyDescent="0.25">
      <c r="A30" s="106" t="s">
        <v>845</v>
      </c>
      <c r="B30" s="111" t="s">
        <v>844</v>
      </c>
      <c r="C30" s="107" t="s">
        <v>43</v>
      </c>
      <c r="D30" s="158">
        <v>2010</v>
      </c>
      <c r="E30" s="167" t="str">
        <f>HYPERLINK("https://www.lyellcollection.org/toc/egsp/23/1")</f>
        <v>https://www.lyellcollection.org/toc/egsp/23/1</v>
      </c>
      <c r="F30" s="221"/>
      <c r="G30" s="213"/>
      <c r="H30" s="185"/>
      <c r="K30" s="153"/>
    </row>
    <row r="31" spans="1:34" ht="19.2" x14ac:dyDescent="0.25">
      <c r="A31" s="116" t="s">
        <v>512</v>
      </c>
      <c r="B31" s="106" t="s">
        <v>511</v>
      </c>
      <c r="C31" s="107" t="s">
        <v>43</v>
      </c>
      <c r="D31" s="159">
        <v>2016</v>
      </c>
      <c r="E31" s="167" t="str">
        <f>HYPERLINK("https://www.lyellcollection.org/toc/egsp/27/1")</f>
        <v>https://www.lyellcollection.org/toc/egsp/27/1</v>
      </c>
      <c r="F31" s="221"/>
      <c r="G31" s="213"/>
      <c r="H31" s="185"/>
      <c r="K31" s="153"/>
    </row>
    <row r="32" spans="1:34" s="41" customFormat="1" ht="20.399999999999999" x14ac:dyDescent="0.2">
      <c r="A32" s="116" t="s">
        <v>431</v>
      </c>
      <c r="B32" s="106" t="s">
        <v>430</v>
      </c>
      <c r="C32" s="107" t="s">
        <v>43</v>
      </c>
      <c r="D32" s="159">
        <v>2017</v>
      </c>
      <c r="E32" s="167" t="str">
        <f>HYPERLINK("https://www.lyellcollection.org/toc/egsp/28/1")</f>
        <v>https://www.lyellcollection.org/toc/egsp/28/1</v>
      </c>
      <c r="F32" s="221"/>
      <c r="G32" s="216"/>
      <c r="H32" s="185"/>
      <c r="K32" s="153"/>
    </row>
    <row r="33" spans="1:34" s="41" customFormat="1" ht="20.399999999999999" x14ac:dyDescent="0.2">
      <c r="A33" s="108" t="s">
        <v>269</v>
      </c>
      <c r="B33" s="106" t="s">
        <v>268</v>
      </c>
      <c r="C33" s="107" t="s">
        <v>43</v>
      </c>
      <c r="D33" s="159">
        <v>2020</v>
      </c>
      <c r="E33" s="166" t="str">
        <f>HYPERLINK("https://www.lyellcollection.org/toc/egsp/29/1")</f>
        <v>https://www.lyellcollection.org/toc/egsp/29/1</v>
      </c>
      <c r="F33" s="220"/>
      <c r="G33" s="216"/>
      <c r="H33" s="185"/>
      <c r="K33" s="153"/>
    </row>
    <row r="34" spans="1:34" s="41" customFormat="1" ht="18.600000000000001" customHeight="1" x14ac:dyDescent="0.2">
      <c r="A34" s="106" t="s">
        <v>829</v>
      </c>
      <c r="B34" s="111" t="s">
        <v>828</v>
      </c>
      <c r="C34" s="113" t="s">
        <v>39</v>
      </c>
      <c r="D34" s="158">
        <v>2011</v>
      </c>
      <c r="E34" s="167" t="str">
        <f>HYPERLINK("https://www.lyellcollection.org/toc/mem/36/1")</f>
        <v>https://www.lyellcollection.org/toc/mem/36/1</v>
      </c>
      <c r="F34" s="227"/>
      <c r="G34" s="216"/>
      <c r="H34" s="185"/>
      <c r="K34" s="153"/>
    </row>
    <row r="35" spans="1:34" s="139" customFormat="1" x14ac:dyDescent="0.25">
      <c r="A35" s="106" t="s">
        <v>506</v>
      </c>
      <c r="B35" s="111" t="s">
        <v>505</v>
      </c>
      <c r="C35" s="106" t="s">
        <v>88</v>
      </c>
      <c r="D35" s="159">
        <v>2016</v>
      </c>
      <c r="E35" s="223"/>
      <c r="F35" s="226"/>
      <c r="G35" s="214"/>
      <c r="H35" s="180"/>
      <c r="K35" s="153"/>
      <c r="L35"/>
      <c r="M35"/>
      <c r="N35"/>
      <c r="O35"/>
      <c r="P35"/>
      <c r="Q35" s="24"/>
      <c r="R35" s="24"/>
      <c r="S35" s="24"/>
      <c r="T35" s="24"/>
      <c r="U35" s="24"/>
      <c r="V35" s="24"/>
      <c r="W35" s="24"/>
      <c r="X35" s="24"/>
      <c r="Y35" s="24"/>
      <c r="Z35" s="24"/>
      <c r="AA35" s="24"/>
      <c r="AB35" s="24"/>
      <c r="AC35" s="24"/>
      <c r="AD35" s="24"/>
      <c r="AE35" s="24"/>
      <c r="AF35" s="24"/>
      <c r="AG35" s="24"/>
      <c r="AH35" s="24"/>
    </row>
    <row r="36" spans="1:34" ht="10.199999999999999" x14ac:dyDescent="0.2">
      <c r="A36" s="116" t="s">
        <v>2901</v>
      </c>
      <c r="B36" s="111" t="s">
        <v>1516</v>
      </c>
      <c r="C36" s="106" t="s">
        <v>88</v>
      </c>
      <c r="D36" s="158">
        <v>2002</v>
      </c>
      <c r="E36" s="223"/>
      <c r="F36" s="226"/>
      <c r="G36" s="213"/>
      <c r="H36" s="180"/>
      <c r="K36" s="70"/>
      <c r="L36" s="41"/>
      <c r="M36" s="41"/>
      <c r="N36" s="41"/>
      <c r="O36" s="41"/>
      <c r="P36" s="41"/>
      <c r="Q36" s="41"/>
      <c r="R36" s="41"/>
      <c r="S36" s="41"/>
      <c r="T36" s="41"/>
      <c r="U36" s="41"/>
      <c r="V36" s="41"/>
      <c r="W36" s="41"/>
      <c r="X36" s="41"/>
      <c r="Y36" s="41"/>
      <c r="Z36" s="41"/>
      <c r="AA36" s="41"/>
      <c r="AB36" s="41"/>
      <c r="AC36" s="41"/>
      <c r="AD36" s="41"/>
      <c r="AE36" s="41"/>
      <c r="AF36" s="41"/>
      <c r="AG36" s="41"/>
      <c r="AH36" s="41"/>
    </row>
    <row r="37" spans="1:34" s="41" customFormat="1" ht="10.199999999999999" x14ac:dyDescent="0.2">
      <c r="A37" s="116" t="s">
        <v>2902</v>
      </c>
      <c r="B37" s="111" t="s">
        <v>1165</v>
      </c>
      <c r="C37" s="106" t="s">
        <v>88</v>
      </c>
      <c r="D37" s="158">
        <v>2006</v>
      </c>
      <c r="E37" s="219"/>
      <c r="F37" s="226"/>
      <c r="G37" s="216"/>
      <c r="H37" s="185" t="s">
        <v>1149</v>
      </c>
      <c r="K37" s="154"/>
    </row>
    <row r="38" spans="1:34" s="41" customFormat="1" ht="10.199999999999999" x14ac:dyDescent="0.2">
      <c r="A38" s="116" t="s">
        <v>2903</v>
      </c>
      <c r="B38" s="111" t="s">
        <v>1069</v>
      </c>
      <c r="C38" s="106" t="s">
        <v>88</v>
      </c>
      <c r="D38" s="158">
        <v>2007</v>
      </c>
      <c r="E38" s="223"/>
      <c r="F38" s="226"/>
      <c r="G38" s="216"/>
      <c r="H38" s="180"/>
      <c r="K38" s="70"/>
    </row>
    <row r="39" spans="1:34" s="41" customFormat="1" ht="10.199999999999999" x14ac:dyDescent="0.2">
      <c r="A39" s="106" t="s">
        <v>2904</v>
      </c>
      <c r="B39" s="106" t="s">
        <v>987</v>
      </c>
      <c r="C39" s="106" t="s">
        <v>88</v>
      </c>
      <c r="D39" s="158">
        <v>2008</v>
      </c>
      <c r="E39" s="223"/>
      <c r="F39" s="226"/>
      <c r="G39" s="216"/>
      <c r="H39" s="180"/>
      <c r="K39" s="155"/>
    </row>
    <row r="40" spans="1:34" s="41" customFormat="1" ht="20.399999999999999" x14ac:dyDescent="0.2">
      <c r="A40" s="106" t="s">
        <v>2905</v>
      </c>
      <c r="B40" s="106" t="s">
        <v>995</v>
      </c>
      <c r="C40" s="106" t="s">
        <v>88</v>
      </c>
      <c r="D40" s="158">
        <v>2008</v>
      </c>
      <c r="E40" s="224" t="s">
        <v>2906</v>
      </c>
      <c r="F40" s="226"/>
      <c r="G40" s="216"/>
      <c r="H40" s="180"/>
      <c r="K40" s="155"/>
    </row>
    <row r="41" spans="1:34" s="41" customFormat="1" ht="12" customHeight="1" x14ac:dyDescent="0.2">
      <c r="A41" s="106" t="s">
        <v>2907</v>
      </c>
      <c r="B41" s="111" t="s">
        <v>783</v>
      </c>
      <c r="C41" s="106" t="s">
        <v>88</v>
      </c>
      <c r="D41" s="158">
        <v>2011</v>
      </c>
      <c r="E41" s="223"/>
      <c r="F41" s="226"/>
      <c r="G41" s="216"/>
      <c r="H41" s="180"/>
      <c r="K41" s="153"/>
    </row>
    <row r="42" spans="1:34" s="41" customFormat="1" ht="13.2" customHeight="1" x14ac:dyDescent="0.2">
      <c r="A42" s="106" t="s">
        <v>183</v>
      </c>
      <c r="B42" s="111" t="s">
        <v>181</v>
      </c>
      <c r="C42" s="107" t="s">
        <v>182</v>
      </c>
      <c r="D42" s="158">
        <v>2022</v>
      </c>
      <c r="E42" s="223"/>
      <c r="F42" s="226"/>
      <c r="G42" s="216"/>
      <c r="H42" s="180"/>
      <c r="K42" s="70"/>
    </row>
    <row r="43" spans="1:34" s="41" customFormat="1" ht="20.399999999999999" x14ac:dyDescent="0.2">
      <c r="A43" s="106" t="s">
        <v>2896</v>
      </c>
      <c r="B43" s="111" t="s">
        <v>735</v>
      </c>
      <c r="C43" s="116" t="s">
        <v>220</v>
      </c>
      <c r="D43" s="158">
        <v>2012</v>
      </c>
      <c r="E43" s="223"/>
      <c r="F43" s="226"/>
      <c r="G43" s="216"/>
      <c r="H43" s="211"/>
      <c r="K43" s="153"/>
    </row>
    <row r="44" spans="1:34" s="41" customFormat="1" ht="10.199999999999999" x14ac:dyDescent="0.2">
      <c r="A44" s="116" t="s">
        <v>221</v>
      </c>
      <c r="B44" s="111" t="s">
        <v>219</v>
      </c>
      <c r="C44" s="116" t="s">
        <v>220</v>
      </c>
      <c r="D44" s="159">
        <v>2021</v>
      </c>
      <c r="E44" s="223"/>
      <c r="F44" s="226"/>
      <c r="G44" s="216"/>
      <c r="H44" s="180"/>
      <c r="K44" s="153"/>
    </row>
    <row r="45" spans="1:34" s="41" customFormat="1" ht="21" thickBot="1" x14ac:dyDescent="0.25">
      <c r="A45" s="122" t="s">
        <v>503</v>
      </c>
      <c r="B45" s="121" t="s">
        <v>502</v>
      </c>
      <c r="C45" s="122" t="s">
        <v>76</v>
      </c>
      <c r="D45" s="160">
        <v>2016</v>
      </c>
      <c r="E45" s="225"/>
      <c r="F45" s="228"/>
      <c r="G45" s="217"/>
      <c r="H45" s="207"/>
      <c r="K45" s="152"/>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row>
  </sheetData>
  <sortState xmlns:xlrd2="http://schemas.microsoft.com/office/spreadsheetml/2017/richdata2" ref="A35:AH45">
    <sortCondition ref="C35:C45"/>
  </sortState>
  <conditionalFormatting sqref="A18:A24 A6:A16">
    <cfRule type="duplicateValues" dxfId="0" priority="23"/>
  </conditionalFormatting>
  <hyperlinks>
    <hyperlink ref="J18" r:id="rId1" xr:uid="{68028F6D-0F0C-4AC0-A33D-A3F1ED9177F7}"/>
    <hyperlink ref="J14" r:id="rId2" xr:uid="{52F47D1B-70E6-4404-BFFF-0582E84D2524}"/>
    <hyperlink ref="J15" r:id="rId3" xr:uid="{FDF745A9-350F-41FB-90B0-C78F986473CA}"/>
    <hyperlink ref="J19" r:id="rId4" xr:uid="{3E7DB4EA-E004-4ADF-895B-1EB23E0849CD}"/>
    <hyperlink ref="J16" r:id="rId5" xr:uid="{C21FE9F9-785F-4F0C-82B0-52C27E3C1855}"/>
    <hyperlink ref="J20" r:id="rId6" xr:uid="{A2D9CBAF-540A-4303-AB41-742F4C158277}"/>
    <hyperlink ref="J12" r:id="rId7" xr:uid="{8B071752-94D0-4AF5-A9FF-7EA3601AB8A5}"/>
    <hyperlink ref="J21" r:id="rId8" xr:uid="{8CD94539-3098-4910-96AB-3E540C5EB223}"/>
    <hyperlink ref="J22" r:id="rId9" xr:uid="{0CBCB404-9CF7-4C14-A015-5D55B82017D2}"/>
    <hyperlink ref="E20" r:id="rId10" xr:uid="{772D7A52-A1DC-4292-A6C6-2198F48D2859}"/>
    <hyperlink ref="E7" r:id="rId11" xr:uid="{2B35DCEB-37DA-4577-9DCE-175CDD6A015F}"/>
    <hyperlink ref="E8" r:id="rId12" xr:uid="{94D0621C-0920-4708-A3B0-2CB498944E5E}"/>
    <hyperlink ref="E9" r:id="rId13" xr:uid="{51CDFEE8-124B-4066-AB8D-9E6387A119C5}"/>
    <hyperlink ref="E10" r:id="rId14" xr:uid="{7CB39BBD-1AC9-4B19-A3C1-C5157B743AE9}"/>
    <hyperlink ref="E11" r:id="rId15" xr:uid="{876DB42F-3368-457E-8213-1A8BE44EFC8A}"/>
    <hyperlink ref="E18" r:id="rId16" xr:uid="{912F5F0E-A95C-4B30-A7F3-8115140F4FF9}"/>
    <hyperlink ref="E23" r:id="rId17" xr:uid="{4761B58B-6325-40CE-979F-E4207778D0FA}"/>
    <hyperlink ref="E13" r:id="rId18" xr:uid="{84122F37-B095-4E0F-9A87-16C1AC2F1941}"/>
    <hyperlink ref="E17" r:id="rId19" xr:uid="{4AF5AAF3-3B80-4CAB-AF98-305EDF00CEC8}"/>
    <hyperlink ref="E22" r:id="rId20" xr:uid="{B2EEBDCB-BDEA-4281-8447-0ABA3754261B}"/>
    <hyperlink ref="E21" r:id="rId21" xr:uid="{D366159E-2C72-4DBE-AB1C-8E8434505FFD}"/>
    <hyperlink ref="E12:E23" r:id="rId22" display="https://www.geolsoc.org.uk/mpgfg" xr:uid="{A61B7955-867C-45EA-879D-E5F434276144}"/>
    <hyperlink ref="E12" r:id="rId23" xr:uid="{CFA98EC1-FBFE-423E-B37A-BF6B8E3FF112}"/>
    <hyperlink ref="E24" r:id="rId24" xr:uid="{AC6C93D9-226F-4A01-AF00-517DD3DD9B70}"/>
    <hyperlink ref="E18:E22" r:id="rId25" display="https://www.geolsoc.org.uk/gospp" xr:uid="{12ABDD39-33A4-446B-8F54-571762AD3F3F}"/>
    <hyperlink ref="E16" r:id="rId26" xr:uid="{47CFF517-EAA0-4388-A08F-D79904C79A35}"/>
    <hyperlink ref="E19" r:id="rId27" xr:uid="{58B14496-F3B6-4D5C-B1D8-A9D554E92C72}"/>
    <hyperlink ref="E15" r:id="rId28" xr:uid="{0D2F9FF7-BF8E-4B55-B9D5-DDD068AE09D3}"/>
    <hyperlink ref="E14" r:id="rId29" xr:uid="{5371A67C-B99C-4A43-8A9C-AAADE04FB806}"/>
    <hyperlink ref="H13" r:id="rId30" display="https://www.lyellcollection.org/toc/sp/506/1 (included in Book Archive)" xr:uid="{27787B70-5B63-48ED-8BB7-10A2B600559E}"/>
  </hyperlinks>
  <printOptions horizontalCentered="1"/>
  <pageMargins left="0.39370078740157483" right="0.39370078740157483" top="0.39370078740157483" bottom="0.39370078740157483" header="0.31496062992125984" footer="0.31496062992125984"/>
  <pageSetup paperSize="9" scale="71" orientation="landscape"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AB4D28DC30974F8DF13AF3195573DD" ma:contentTypeVersion="20" ma:contentTypeDescription="Create a new document." ma:contentTypeScope="" ma:versionID="57a7b2b0d1f5dca114e4726499518f1b">
  <xsd:schema xmlns:xsd="http://www.w3.org/2001/XMLSchema" xmlns:xs="http://www.w3.org/2001/XMLSchema" xmlns:p="http://schemas.microsoft.com/office/2006/metadata/properties" xmlns:ns2="f0cced3b-310d-45b8-97bf-d36cbbb5d34b" xmlns:ns3="991330b7-a67c-4846-8b6a-4c888ec2572d" targetNamespace="http://schemas.microsoft.com/office/2006/metadata/properties" ma:root="true" ma:fieldsID="2f372c232c0525a0ce59bcf627a6dd72" ns2:_="" ns3:_="">
    <xsd:import namespace="f0cced3b-310d-45b8-97bf-d36cbbb5d34b"/>
    <xsd:import namespace="991330b7-a67c-4846-8b6a-4c888ec257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Image" minOccurs="0"/>
                <xsd:element ref="ns2:Thumbnai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ced3b-310d-45b8-97bf-d36cbbb5d3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8c4553-6a3d-466f-a6fa-79c540e77757"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Image" ma:index="22" nillable="true" ma:displayName="Image" ma:format="Thumbnail" ma:internalName="Image">
      <xsd:simpleType>
        <xsd:restriction base="dms:Unknown"/>
      </xsd:simpleType>
    </xsd:element>
    <xsd:element name="Thumbnail" ma:index="23" nillable="true" ma:displayName="Thumbnail" ma:format="Thumbnail" ma:internalName="Thumbnail">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1330b7-a67c-4846-8b6a-4c888ec2572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37bc7ec-cbc9-4bcf-8d17-dd1594e126aa}" ma:internalName="TaxCatchAll" ma:showField="CatchAllData" ma:web="991330b7-a67c-4846-8b6a-4c888ec257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0cced3b-310d-45b8-97bf-d36cbbb5d34b">
      <Terms xmlns="http://schemas.microsoft.com/office/infopath/2007/PartnerControls"/>
    </lcf76f155ced4ddcb4097134ff3c332f>
    <TaxCatchAll xmlns="991330b7-a67c-4846-8b6a-4c888ec2572d" xsi:nil="true"/>
    <Image xmlns="f0cced3b-310d-45b8-97bf-d36cbbb5d34b" xsi:nil="true"/>
    <Thumbnail xmlns="f0cced3b-310d-45b8-97bf-d36cbbb5d3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99B40C-4B5E-428D-9F9E-3EFE1AACB4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cced3b-310d-45b8-97bf-d36cbbb5d34b"/>
    <ds:schemaRef ds:uri="991330b7-a67c-4846-8b6a-4c888ec257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CCDE5C-6FE0-43B2-A00C-3C06856B9078}">
  <ds:schemaRefs>
    <ds:schemaRef ds:uri="991330b7-a67c-4846-8b6a-4c888ec2572d"/>
    <ds:schemaRef ds:uri="http://purl.org/dc/dcmitype/"/>
    <ds:schemaRef ds:uri="f0cced3b-310d-45b8-97bf-d36cbbb5d34b"/>
    <ds:schemaRef ds:uri="http://purl.org/dc/term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3572391B-351D-4619-80C4-D99E59EF0B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Book title list</vt:lpstr>
      <vt:lpstr>Journal and book series info</vt:lpstr>
      <vt:lpstr>Pay-per-view eBooks</vt:lpstr>
      <vt:lpstr>'Book title list'!Print_Area</vt:lpstr>
      <vt:lpstr>'Pay-per-view eBooks'!Print_Area</vt:lpstr>
      <vt:lpstr>'Book title list'!Print_Titles</vt:lpstr>
      <vt:lpstr>'Pay-per-view eBooks'!Print_Titles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Dawn Angel</dc:creator>
  <cp:keywords/>
  <dc:description/>
  <cp:lastModifiedBy>Dawn Angel</cp:lastModifiedBy>
  <cp:revision/>
  <cp:lastPrinted>2026-07-01T14:38:09Z</cp:lastPrinted>
  <dcterms:created xsi:type="dcterms:W3CDTF">2013-09-25T10:08:12Z</dcterms:created>
  <dcterms:modified xsi:type="dcterms:W3CDTF">2026-07-01T14:39:39Z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0x0101002AAB4D28DC30974F8DF13AF3195573DD</vt:lpwstr>
  </property>
  <property fmtid="{D5CDD505-2E9C-101B-9397-08002B2CF9AE}" pid="3" name="Order">
    <vt:r8>2000</vt:r8>
  </property>
  <property fmtid="{D5CDD505-2E9C-101B-9397-08002B2CF9AE}" pid="4" name="MediaServiceImageTags">
    <vt:lpwstr/>
  </property>
</Properties>
</file>